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worldbankgroup-my.sharepoint.com/personal/ryazigi_worldbank_org/Documents/Roula/Web Work/Doing Business Data/"/>
    </mc:Choice>
  </mc:AlternateContent>
  <xr:revisionPtr revIDLastSave="0" documentId="8_{4E6FC64D-76D1-4EDE-A520-50B46CA0CAEB}" xr6:coauthVersionLast="36" xr6:coauthVersionMax="36" xr10:uidLastSave="{00000000-0000-0000-0000-000000000000}"/>
  <bookViews>
    <workbookView xWindow="40" yWindow="460" windowWidth="25560" windowHeight="14600" xr2:uid="{5CCD0881-F6E2-447D-9C76-E70EA4B5470B}"/>
  </bookViews>
  <sheets>
    <sheet name="Connectivity" sheetId="9" r:id="rId1"/>
  </sheets>
  <externalReferences>
    <externalReference r:id="rId2"/>
  </externalReferences>
  <definedNames>
    <definedName name="_xlnm._FilterDatabase" localSheetId="0" hidden="1">Connectivity!$A$3:$CE$24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24" i="9" l="1"/>
  <c r="AY24" i="9"/>
  <c r="AX24" i="9"/>
  <c r="AZ23" i="9"/>
  <c r="AY23" i="9"/>
  <c r="AX23" i="9"/>
  <c r="AZ22" i="9"/>
  <c r="AY22" i="9"/>
  <c r="AX22" i="9"/>
  <c r="AZ21" i="9"/>
  <c r="AY21" i="9"/>
  <c r="AX21" i="9"/>
  <c r="AZ20" i="9"/>
  <c r="AY20" i="9"/>
  <c r="AX20" i="9"/>
  <c r="AZ19" i="9"/>
  <c r="AY19" i="9"/>
  <c r="AX19" i="9"/>
  <c r="AZ18" i="9"/>
  <c r="AX18" i="9"/>
  <c r="AZ17" i="9"/>
  <c r="AY17" i="9"/>
  <c r="AX17" i="9"/>
  <c r="AZ16" i="9"/>
  <c r="AY16" i="9"/>
  <c r="AX16" i="9"/>
  <c r="AZ15" i="9"/>
  <c r="AY15" i="9"/>
  <c r="AX15" i="9"/>
  <c r="AZ14" i="9"/>
  <c r="AY14" i="9"/>
  <c r="AX14" i="9"/>
  <c r="AZ13" i="9"/>
  <c r="AY13" i="9"/>
  <c r="AX13" i="9"/>
  <c r="AZ12" i="9"/>
  <c r="AY12" i="9"/>
  <c r="AX12" i="9"/>
  <c r="AZ11" i="9"/>
  <c r="AY11" i="9"/>
  <c r="AX11" i="9"/>
  <c r="AZ10" i="9"/>
  <c r="AY10" i="9"/>
  <c r="AX10" i="9"/>
  <c r="AZ9" i="9"/>
  <c r="AY9" i="9"/>
  <c r="AX9" i="9"/>
  <c r="AZ8" i="9"/>
  <c r="AX8" i="9"/>
  <c r="AZ7" i="9"/>
  <c r="AY7" i="9"/>
  <c r="AX7" i="9"/>
  <c r="AZ6" i="9"/>
  <c r="AY6" i="9"/>
  <c r="AX6" i="9"/>
  <c r="AZ5" i="9"/>
  <c r="AY5" i="9"/>
  <c r="AX5" i="9"/>
  <c r="AZ4" i="9"/>
  <c r="AY4" i="9"/>
  <c r="AX4" i="9"/>
  <c r="CE24" i="9"/>
  <c r="CD24" i="9"/>
  <c r="CE23" i="9"/>
  <c r="CD23" i="9"/>
  <c r="CE22" i="9"/>
  <c r="CD22" i="9"/>
  <c r="CE21" i="9"/>
  <c r="CD21" i="9"/>
  <c r="CE20" i="9"/>
  <c r="CD20" i="9"/>
  <c r="CE19" i="9"/>
  <c r="CD19" i="9"/>
  <c r="CE18" i="9"/>
  <c r="CD18" i="9"/>
  <c r="CE17" i="9"/>
  <c r="CD17" i="9"/>
  <c r="CE16" i="9"/>
  <c r="CD16" i="9"/>
  <c r="CD15" i="9"/>
  <c r="CE14" i="9"/>
  <c r="CD14" i="9"/>
  <c r="CE13" i="9"/>
  <c r="CD13" i="9"/>
  <c r="CE12" i="9"/>
  <c r="CD12" i="9"/>
  <c r="CE11" i="9"/>
  <c r="CD11" i="9"/>
  <c r="CE10" i="9"/>
  <c r="CD10" i="9"/>
  <c r="CE9" i="9"/>
  <c r="CD9" i="9"/>
  <c r="CE8" i="9"/>
  <c r="CD8" i="9"/>
  <c r="CE7" i="9"/>
  <c r="CD7" i="9"/>
  <c r="CE6" i="9"/>
  <c r="CD6" i="9"/>
  <c r="CE5" i="9"/>
  <c r="CD5" i="9"/>
  <c r="CE4" i="9"/>
  <c r="CD4" i="9"/>
</calcChain>
</file>

<file path=xl/sharedStrings.xml><?xml version="1.0" encoding="utf-8"?>
<sst xmlns="http://schemas.openxmlformats.org/spreadsheetml/2006/main" count="1598" uniqueCount="201">
  <si>
    <t>Country code</t>
  </si>
  <si>
    <t>Economy</t>
  </si>
  <si>
    <t>Region name</t>
  </si>
  <si>
    <t>Region code</t>
  </si>
  <si>
    <t>Universal Access</t>
  </si>
  <si>
    <t>Spectrum Management</t>
  </si>
  <si>
    <t>If yes, specify: Accelerated depreciation for connectivity infrastructure investments:  </t>
  </si>
  <si>
    <t xml:space="preserve">If yes, specify: Tax credits for research and development: </t>
  </si>
  <si>
    <t xml:space="preserve">If yes, specify: Loans, Guarantees or Subsidies for Connectivity Infrastructure: </t>
  </si>
  <si>
    <t>If Other, Please Specify:</t>
  </si>
  <si>
    <t>Population with Broadband</t>
  </si>
  <si>
    <t>Population with Broadband Target % of Population</t>
  </si>
  <si>
    <t>Businesses with Broadband</t>
  </si>
  <si>
    <t>Businesses with Broadband Target % of Businesses</t>
  </si>
  <si>
    <t>Schools with Broadband</t>
  </si>
  <si>
    <t>Schools with Broadband Target % of schools</t>
  </si>
  <si>
    <t>Rural Coverage</t>
  </si>
  <si>
    <t>Rural Coverage Target % of rural population</t>
  </si>
  <si>
    <t xml:space="preserve">Population with mobile internet </t>
  </si>
  <si>
    <t>Population with mobile internet Target % of population</t>
  </si>
  <si>
    <t>PC ownership</t>
  </si>
  <si>
    <t>PC ownership Target % of population</t>
  </si>
  <si>
    <t>Population with Digital Identity</t>
  </si>
  <si>
    <t>Population with Digital Identity Target % of population</t>
  </si>
  <si>
    <t>E-Government</t>
  </si>
  <si>
    <t>E-Government. Please Specify</t>
  </si>
  <si>
    <t>Other</t>
  </si>
  <si>
    <t>Other. Please Specify</t>
  </si>
  <si>
    <t>If yes, please specify how the spectrum auction winners are primarily evaluated: Bid Price</t>
  </si>
  <si>
    <t>If yes, please specify how the spectrum auction winners are primarily evaluated: Technology</t>
  </si>
  <si>
    <t xml:space="preserve">Spectrum shortage evaluations: </t>
  </si>
  <si>
    <t xml:space="preserve">Voluntary spectrum trading: </t>
  </si>
  <si>
    <t xml:space="preserve">Voluntary spectrum leasing: </t>
  </si>
  <si>
    <t xml:space="preserve">Spectrum caps: </t>
  </si>
  <si>
    <t xml:space="preserve"> Secondary markets for unlicensed spectrum (TVWS or other relevant frequency bands)?</t>
  </si>
  <si>
    <t xml:space="preserve">Trademark matching the domain name:  </t>
  </si>
  <si>
    <t xml:space="preserve">Legal name of entity: </t>
  </si>
  <si>
    <t xml:space="preserve">Business owner must be a national or permanent resident: </t>
  </si>
  <si>
    <t>Type of domain name (.edu, .org) do not match type of entity</t>
  </si>
  <si>
    <t>Bad Faith in user registration:</t>
  </si>
  <si>
    <t xml:space="preserve">Cyber-squatting: </t>
  </si>
  <si>
    <t xml:space="preserve">Phishing, spam, or even distribution of malware: </t>
  </si>
  <si>
    <t>ARM</t>
  </si>
  <si>
    <t>Armenia</t>
  </si>
  <si>
    <t>Europe &amp; Central Asia</t>
  </si>
  <si>
    <t>ECA</t>
  </si>
  <si>
    <t>Lower middle income</t>
  </si>
  <si>
    <t>No</t>
  </si>
  <si>
    <t>N/A</t>
  </si>
  <si>
    <t>No restrictions</t>
  </si>
  <si>
    <t>Yes</t>
  </si>
  <si>
    <t>BGD</t>
  </si>
  <si>
    <t>Bangladesh</t>
  </si>
  <si>
    <t>South Asia</t>
  </si>
  <si>
    <t>SAS</t>
  </si>
  <si>
    <t>Minimum Level of Local Ownership Mandated</t>
  </si>
  <si>
    <t>All higher secondary, secondary and government/MPO-listed primary education institutes to be connected with the broadband. Computer laboratories will be established in each government primary school, first with 5 by 2014, then with 10 by 2017 and finally with 20 computer sets by 2021.</t>
  </si>
  <si>
    <t>Tele-centre/community e-centers with internet facilities in unions will reach 50 per cent by 2015, and 100 percent by 2020.</t>
  </si>
  <si>
    <t>All local government institutions (e.g. city corporation, municipality/pourasava) up to district level. The E-governance model will be developed and implemented. It will begin with e-tenders and e-bill payments. Introduction of E-governance at all executive levels of government by 2015. Arrangement for electronic GD and FIR at all Police Stations, initially in Dhaka and then in other metropolitan areas by 2015, and in all police stations by 2021.</t>
  </si>
  <si>
    <t xml:space="preserve">All the cultural centers, museums, post offices and archives; all union parishad offices; all farmers market connected to the broadband network. Research and development will be greatly promoted to promote science. Allocation for R&amp;D will be raised significantly from the current 0.6 percent of GDP. Increase teledensity to 70 per cent in 2015 and 90 per cent in 2021.
</t>
  </si>
  <si>
    <t>BFA</t>
  </si>
  <si>
    <t>Burkina Faso</t>
  </si>
  <si>
    <t>Sub-Saharan Africa</t>
  </si>
  <si>
    <t>SSA</t>
  </si>
  <si>
    <t>Low income</t>
  </si>
  <si>
    <t>25 to 100%</t>
  </si>
  <si>
    <t>50-100%</t>
  </si>
  <si>
    <t>Services offered at eburkina.gov.bf</t>
  </si>
  <si>
    <t xml:space="preserve">Coverage in 45 provinces, 145 municipal centers  </t>
  </si>
  <si>
    <t>COL</t>
  </si>
  <si>
    <t>Colombia</t>
  </si>
  <si>
    <t>Latin America &amp; Caribbean</t>
  </si>
  <si>
    <t>LAC</t>
  </si>
  <si>
    <t>Upper middle income</t>
  </si>
  <si>
    <t>FRA</t>
  </si>
  <si>
    <t>France</t>
  </si>
  <si>
    <t>High income</t>
  </si>
  <si>
    <t>Other, Please Specify:</t>
  </si>
  <si>
    <t>Prior approval of the Minister of the Economy is needed for the acquisition of a French company in the field of electronic communications as specified in the Montebourg Decree of May 14, 2014 and Article L151-1 et seq. of the French Monetary and Financial Code</t>
  </si>
  <si>
    <t>HND</t>
  </si>
  <si>
    <t>Honduras</t>
  </si>
  <si>
    <t>IDN</t>
  </si>
  <si>
    <t>Indonesia</t>
  </si>
  <si>
    <t>East Asia &amp; Pacific</t>
  </si>
  <si>
    <t>EAP</t>
  </si>
  <si>
    <t>(i) city population: 30% (fixed access) and 100% (mobile access); (ii) rural population: 6% (fixed access) and 52% (mobile access)</t>
  </si>
  <si>
    <t xml:space="preserve">IBP aims to achieve 100% of access to broadband in public facilities by 2019 </t>
  </si>
  <si>
    <t>6% (fixed access) and 52% (mobile access)</t>
  </si>
  <si>
    <t>100% (urban) / 52% (rural)</t>
  </si>
  <si>
    <t xml:space="preserve">i) Broadband service price at maximum 5% of average monthly income
ii) Fixed broadband household coverage of 71% (urban); 49% (rural)
iii) National ICT literacy: 75%
iv) 100% penetration in the following areas, among others: hospitals, police offices, public areas.
</t>
  </si>
  <si>
    <t>KAZ</t>
  </si>
  <si>
    <t>Kazakhstan</t>
  </si>
  <si>
    <t>100% of scientific educational institutions connected to a single national scientific and educational network</t>
  </si>
  <si>
    <t>In the results of «Informational Kazakhstan - 2020» State Program realization the republic have to reach the following target indicators:
1) Kazakhstan in the Doing Business rate of World bank in 2020 must be in the list of 35 countries;
2) Index of «electronic government» (by the method of UN) in 2020 must be in the list of first 25 countries;
3) Access of informational-communication infrastructure in household of Republic of Kazakhstan - 100 %;
4) The amount of Internet users in 2020 – 75 %;
5) Coverage by radio digital TV and radio broadcasting of the population of Kazakhstan – 95%;
6) ICT share in GDP of country– 4%;
7) Healthcare organizations’ share connected to single healthcare network– 100%;
8) A share of the scientific educational institutions connected to a single national scientific and educational network - 100%;
9) Level of computer knowledge – 80 %;
10) A share of electronic mass media to the total amount of registered mass media in Kazakhstan – 100%;
11) A share of a turn of the Kazakhstan online stores in a total turnover of the goods and services paid electronically – 40%;
12) A share of state services provided in electronic form - 50%;
13) A share of electronic state services on relation to the total number of services received conventionally - 80 %.
14) Share of e-commerce in the common market of goods and services in 2020 - 10%</t>
  </si>
  <si>
    <t>KEN</t>
  </si>
  <si>
    <t>Kenya</t>
  </si>
  <si>
    <t>25% broadband subscription (population) or 35% penetration by households</t>
  </si>
  <si>
    <t>100% of State Departments and agencies with core registries on-line</t>
  </si>
  <si>
    <t>100% penetration by health facilities; 30% women accessing broadband; 25% geographic coverage (population); 10% cost per Mbps in relation to average income</t>
  </si>
  <si>
    <t>KOR</t>
  </si>
  <si>
    <t>Korea, Rep.</t>
  </si>
  <si>
    <t>KGZ</t>
  </si>
  <si>
    <t>Kyrgyz Republic</t>
  </si>
  <si>
    <t>No Restrictions</t>
  </si>
  <si>
    <t>Measured by the number of government agencies using the G-Cloud shared infrastructure, number of visitors per year to State Portal of E-Services, digital transactions conducted on the State Portal of E-Services per year and the number of government employees trained.</t>
  </si>
  <si>
    <t>People provided with access to Internet (Number), Internet penetration sub‐indicator (%) 
- International Internet Bandwidth per Capita (kbps) 
- Average retail price for 1 GB prepaid mobile data package (US$)   
- E‐services and applications utilizing the shared services platforms (Number) 
- Private sector investments committed through the project (US$)</t>
  </si>
  <si>
    <t>LBN</t>
  </si>
  <si>
    <t>Lebanon</t>
  </si>
  <si>
    <t>Middle East &amp; North Africa</t>
  </si>
  <si>
    <t>MEA</t>
  </si>
  <si>
    <t>Foreign ownership is not allowed</t>
  </si>
  <si>
    <t>MYS</t>
  </si>
  <si>
    <t>Malaysia</t>
  </si>
  <si>
    <t xml:space="preserve">100% foreign equity participation in application services providers, 70% limit on foreign participation for network facilities and service providers. No rules restricting foreign ownership or investment in the internet industry.    </t>
  </si>
  <si>
    <t>MEX</t>
  </si>
  <si>
    <t>Mexico</t>
  </si>
  <si>
    <t>70% of households</t>
  </si>
  <si>
    <t>85% of all micro, small and medium enterprises at the national level</t>
  </si>
  <si>
    <t>MDA</t>
  </si>
  <si>
    <t>Moldova</t>
  </si>
  <si>
    <t>Penetration rate of broadband Internet access of at least 60% of households</t>
  </si>
  <si>
    <t>The existence of at least 1 point of presence of the fiber optic cable network in each locality with the mayoralties, offering subscribers in each of these localities a data transfer rate of at least 30 Mbps</t>
  </si>
  <si>
    <t xml:space="preserve">100% of public authorities integrated into e-Government by 2020  </t>
  </si>
  <si>
    <t>PAK</t>
  </si>
  <si>
    <t>Pakistan</t>
  </si>
  <si>
    <t xml:space="preserve">The only quantitative target is for Cellular Mobile Broadband providers to cover 50% of Tehsil headquarters (with a minimum of 20 Tehsil Headquarters in each province) in six years (Telecom Policy 2015). </t>
  </si>
  <si>
    <t>SEN</t>
  </si>
  <si>
    <t>Senegal</t>
  </si>
  <si>
    <t>With regard to the mobile network, the roll-out of 4G mobile networks will ensure 70% coverage of mobile broadband in the next 5 years and 90% by 2025.</t>
  </si>
  <si>
    <t>At the enterprise level, the objective is to ensure very high speed connectivity for 50% of SMEs by 2025.</t>
  </si>
  <si>
    <t>By 2025, 100% of students will have access to a terminal and 50% of schools will be connected and equipped. As far as higher education is concerned, all universities (100%) will be connected to very high speed internet (shared internet at 2 Gbps) and all departments in Senegal will have an Open Digital Space (ENO)</t>
  </si>
  <si>
    <t>With an intensification of digital development by 2025, 100% of urban and rural communities will have to access online services 31 (commerce, high-resolution video, teleservices) from terminals of their choice (computer, tablets, smartphones), at competitive rates.</t>
  </si>
  <si>
    <t>Students and Students Equipped with Terminals to be 100% by 2025</t>
  </si>
  <si>
    <t>The objective of the administration is to improve the efficiency and accessibility of services for citizens and to reduce associated costs by 50% for the State of Senegal; approx. 40% of administrative services will be online by 2025, 7 of which are priority in 2017 (birth registration, application for building permit, tax return, payment of duties and taxes, transfer of ownership, payment of fines, social security); in the medium term, the country will move into a "cashless" economy, with 50% of the royalty payments due to the State is paid digitally.</t>
  </si>
  <si>
    <t>TZA</t>
  </si>
  <si>
    <t>Tanzania</t>
  </si>
  <si>
    <t>TUN</t>
  </si>
  <si>
    <t>Tunisia</t>
  </si>
  <si>
    <t xml:space="preserve">Target of Tunisian ranking of number 1 in Africa and number 4 in Arab world in the NRI index; 80,000 jobs created by 2020 then 25,000 per year; 11 billion DT annual value added by 2020; 1/3 of the investments made by the public and 2/3 by the private sector (and favor the public-private partnership)
</t>
  </si>
  <si>
    <t>UAE</t>
  </si>
  <si>
    <t>VNM</t>
  </si>
  <si>
    <t>Vietnam</t>
  </si>
  <si>
    <t>40% of households or individual subscribers</t>
  </si>
  <si>
    <t>More than 99%</t>
  </si>
  <si>
    <t>40% (same as country-wide target)</t>
  </si>
  <si>
    <t>At least 95% of residential areas are covered with 3G/4G coverage</t>
  </si>
  <si>
    <t xml:space="preserve">All Party and Government agencies and units, socio-political organizations and enterprises will have broadband connection, of which at least 30% of connections will be made at the minimum download speed of 100 Mbps; 40%-60% at the speed of 25 Mbps; All websites of Party and Government agencies and units and socio-economic organizations; and e-portals providing public administrative and non-business services will support both Internet Protocol versions 4 and 6 (IPv4 and IPv6).
</t>
  </si>
  <si>
    <t xml:space="preserve">Broadband services, of which at least 50% will have fixed-line broadband access with the minimum download speed of 50 Mbps; All public telecommunications access points nationwide will use fixed-line broadband services, of which at least 50% will have fixed-line broadband access with the minimum download speed of 50 Mbps.
</t>
  </si>
  <si>
    <t>United Arab Emirates</t>
  </si>
  <si>
    <t>The Communications Authority requires 20 percent Kenyan shareholding within three years of receiving a license.</t>
  </si>
  <si>
    <t>Depending on the type of telecommunication services to be provided by a local entity, the level of foreign ownership restriction could be different. For a FSP (facility-based Service Provider) such as carriers, the maximum shareholding ratio by a foreign entity would be 49%.  For a SSP (Specific telecommunication Service Provider) or a VSP (value-added telecommunication service provider), there is no restriction on the level of foreign ownership.</t>
  </si>
  <si>
    <t>60% of households</t>
  </si>
  <si>
    <t>75% of registered Kenyan businesses that are online</t>
  </si>
  <si>
    <t>1. Does your country have a national broadband plan or policy to develop a high-speed access network?</t>
  </si>
  <si>
    <t xml:space="preserve">22. Which of the following are considered legitimate reasons for denial of domain name registration? Check all that apply: </t>
  </si>
  <si>
    <t>23. Can a company transfer the domain name to a new registrant?</t>
  </si>
  <si>
    <t>2. If yes, does the plan or policy include blended finance or public-private partnership investment schemes for broadband expansion?</t>
  </si>
  <si>
    <t>3. If yes, does the plan or policy include government investment in infrastructure to make broadband more broadly available?</t>
  </si>
  <si>
    <t>If yes, what areas are the government investments targeting: First mile</t>
  </si>
  <si>
    <t>If yes, what areas are the government investments targeting: Middle mile</t>
  </si>
  <si>
    <t>If yes, what areas are the government investments targeting: Last mile</t>
  </si>
  <si>
    <t>If yes, what areas are the government investments targeting: Invisible mile</t>
  </si>
  <si>
    <t xml:space="preserve">If yes, please specify how the spectrum auction winners are primarily evaluated: Speed of Build-Out </t>
  </si>
  <si>
    <t>Attempt to divert consumers either for commercial gain or in an attempt to disrupt or disparage another entity</t>
  </si>
  <si>
    <t>Financial gain without no intention to use the mark with the sale of goods or services (cyber-speculation)</t>
  </si>
  <si>
    <t>Domain name holder has previously registered and sold domain names without intending to use them in connection with the sale of goods or services (cyber-squatting)</t>
  </si>
  <si>
    <t>Provision of false information when applying for registration of domain name</t>
  </si>
  <si>
    <t>24. Are there laws or regulations on the following?</t>
  </si>
  <si>
    <t>25. Is an authority or regulator outside of the courts responsible for domain name disputes or complaints?</t>
  </si>
  <si>
    <t>16. A) How much time is required to obtain internet connection service? (Calendar days)</t>
  </si>
  <si>
    <t>21. Which of the following are required to secure a country code top-level domain registration?</t>
  </si>
  <si>
    <t>Local business registration:</t>
  </si>
  <si>
    <t>Local business address:</t>
  </si>
  <si>
    <t>Obtaining and Protecting Domain Names</t>
  </si>
  <si>
    <t>26. B) What is the cost to request domain name registration service? USD</t>
  </si>
  <si>
    <t>4. If yes, what areas are the government investments targeting: Check all that apply.</t>
  </si>
  <si>
    <t>5. Does your country mandate the financing of a Universal Service Fund (USF) for services such as voice telephony services, fixed broadband Internet access services, and terrestrial mobile communication services?</t>
  </si>
  <si>
    <t xml:space="preserve">6. Are fiscal incentives in place to accelerate internet deployment? </t>
  </si>
  <si>
    <t>7. Is equal access available to shared or government owned infrastructure such as road, railways, water and power lines?</t>
  </si>
  <si>
    <t xml:space="preserve">8. Does the law in your country require its cable operators to provide open access for internet services?    </t>
  </si>
  <si>
    <t>9. Does the law provide for unbundling and line sharing rules?</t>
  </si>
  <si>
    <t>10. What restrictions, if any, are placed on foreign ownership of foreign telecom operators?</t>
  </si>
  <si>
    <t>11. Does your country’s national broadband plan or policy set a performance target for minimum download speed Mbps?</t>
  </si>
  <si>
    <t xml:space="preserve">12. Does your country’s national broadband plan or policy set coverage targets?     </t>
  </si>
  <si>
    <t xml:space="preserve">13. Are fiscal incentives in place to increase access to broadband? </t>
  </si>
  <si>
    <t xml:space="preserve">If yes, do the fiscal incentives include device (computer or mobile) subsidies:  </t>
  </si>
  <si>
    <t xml:space="preserve">If yes, do the fiscal incentives include rural broadband subsidies: </t>
  </si>
  <si>
    <t xml:space="preserve">If yes, do the fiscal incentives include broadband service subsidies: </t>
  </si>
  <si>
    <t xml:space="preserve">14. Does your country’s broadband plan or program include the rollout of free, public access points? </t>
  </si>
  <si>
    <t>15. Can a broadband connection request be completed entirely online?</t>
  </si>
  <si>
    <t>16. B) What is the average cost to request internet connection service? (USD)</t>
  </si>
  <si>
    <t>17. What is the average price for a month of business broadband connection with at least 10 Mbps download speed with unlimited data usage? (USD)</t>
  </si>
  <si>
    <t>18. Are there fees or penalties for switching broadband providers?</t>
  </si>
  <si>
    <t>19. Does your country assign spectrum on the basis of competitive auctions?</t>
  </si>
  <si>
    <t xml:space="preserve">20. Does your country have policies and regulations that allow the following practices for spectrum allocation? </t>
  </si>
  <si>
    <t>26. A) How much time is required to secure a domain name? (Calendar days)</t>
  </si>
  <si>
    <t>Income group</t>
  </si>
  <si>
    <t xml:space="preserve">French government launched its digital inclusion strategy
</t>
  </si>
  <si>
    <t xml:space="preserve">The components of e-Government are the government back-office, e-Education and e-Health, e-Logistic, and e-Procurement. </t>
  </si>
  <si>
    <t>50% of state services provided in electronic form</t>
  </si>
  <si>
    <t xml:space="preserve">Evolve towards an e-Administration at the service of the citizen, fair, transparent, agile and effective. Initiate the transition to the Zero Paper Administration.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</si>
</sst>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Times New Roman"/>
      <family val="1"/>
    </font>
    <font>
      <sz val="10"/>
      <name val="Arial"/>
      <family val="2"/>
    </font>
    <font>
      <b/>
      <sz val="10"/>
      <color theme="1"/>
      <name val="Arial"/>
      <family val="2"/>
    </font>
    <font>
      <b/>
      <sz val="10"/>
      <name val="Arial"/>
      <family val="2"/>
    </font>
    <font>
      <sz val="10"/>
      <color theme="1"/>
      <name val="Arial"/>
      <family val="2"/>
    </font>
    <font>
      <sz val="10"/>
      <color rgb="FF000000"/>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0">
    <border>
      <left/>
      <right/>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s>
  <cellStyleXfs count="3">
    <xf numFmtId="0" fontId="0" fillId="0" borderId="0"/>
    <xf numFmtId="0" fontId="2" fillId="0" borderId="0"/>
    <xf numFmtId="0" fontId="7" fillId="0" borderId="0"/>
  </cellStyleXfs>
  <cellXfs count="19">
    <xf numFmtId="0" fontId="0" fillId="0" borderId="0" xfId="0"/>
    <xf numFmtId="0" fontId="1" fillId="2" borderId="0" xfId="0" applyFont="1" applyFill="1" applyAlignment="1">
      <alignment horizontal="left" vertical="top" wrapText="1"/>
    </xf>
    <xf numFmtId="0" fontId="3" fillId="2" borderId="1" xfId="1" applyFont="1" applyFill="1" applyBorder="1" applyAlignment="1">
      <alignment horizontal="left" vertical="top" wrapText="1"/>
    </xf>
    <xf numFmtId="0" fontId="4" fillId="2" borderId="1" xfId="1" applyFont="1" applyFill="1" applyBorder="1" applyAlignment="1">
      <alignment horizontal="left" vertical="top" wrapText="1"/>
    </xf>
    <xf numFmtId="0" fontId="5" fillId="2"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2" borderId="0" xfId="0" applyFont="1" applyFill="1" applyAlignment="1">
      <alignment horizontal="left" vertical="top" wrapText="1"/>
    </xf>
    <xf numFmtId="9" fontId="5"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6"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Fill="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cellXfs>
  <cellStyles count="3">
    <cellStyle name="Normal" xfId="0" builtinId="0"/>
    <cellStyle name="Normal 2" xfId="2" xr:uid="{F3B9AE9A-6DC9-43E5-BF18-5C743008BEFF}"/>
    <cellStyle name="Normal_cty99" xfId="1" xr:uid="{6B246422-FC60-486C-A380-C8115F2AB5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balzapineda_worldbank_org1/Documents/DBI%202020/Data/Master%20Coding%20Sheet_0701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nectivity"/>
      <sheetName val="Privacy and Data Protection"/>
      <sheetName val="Logistics"/>
      <sheetName val="Payment"/>
      <sheetName val="Regulatory Framework"/>
      <sheetName val="Drop Down Menus"/>
      <sheetName val="Lega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583A-84F4-44E8-A635-032088F8711A}">
  <dimension ref="A1:CE24"/>
  <sheetViews>
    <sheetView tabSelected="1" zoomScaleNormal="100" workbookViewId="0">
      <pane xSplit="1" topLeftCell="B1" activePane="topRight" state="frozen"/>
      <selection pane="topRight" activeCell="E3" sqref="E3"/>
    </sheetView>
  </sheetViews>
  <sheetFormatPr defaultColWidth="8.81640625" defaultRowHeight="14.5" x14ac:dyDescent="0.35"/>
  <cols>
    <col min="6" max="83" width="12.6328125" customWidth="1"/>
  </cols>
  <sheetData>
    <row r="1" spans="1:83"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25.5" customHeight="1" x14ac:dyDescent="0.35">
      <c r="A2" s="2" t="s">
        <v>0</v>
      </c>
      <c r="B2" s="3" t="s">
        <v>1</v>
      </c>
      <c r="C2" s="3" t="s">
        <v>2</v>
      </c>
      <c r="D2" s="3" t="s">
        <v>3</v>
      </c>
      <c r="E2" s="3" t="s">
        <v>196</v>
      </c>
      <c r="F2" s="13" t="s">
        <v>4</v>
      </c>
      <c r="G2" s="14"/>
      <c r="H2" s="14"/>
      <c r="I2" s="14"/>
      <c r="J2" s="14"/>
      <c r="K2" s="14"/>
      <c r="L2" s="14"/>
      <c r="M2" s="14"/>
      <c r="N2" s="14"/>
      <c r="O2" s="14"/>
      <c r="P2" s="14"/>
      <c r="Q2" s="14"/>
      <c r="R2" s="14"/>
      <c r="S2" s="14"/>
      <c r="T2" s="14"/>
      <c r="U2" s="14"/>
      <c r="V2" s="14"/>
      <c r="W2" s="14"/>
      <c r="X2" s="17"/>
      <c r="Y2" s="14"/>
      <c r="Z2" s="14"/>
      <c r="AA2" s="14"/>
      <c r="AB2" s="14"/>
      <c r="AC2" s="14"/>
      <c r="AD2" s="14"/>
      <c r="AE2" s="14"/>
      <c r="AF2" s="14"/>
      <c r="AG2" s="14"/>
      <c r="AH2" s="14"/>
      <c r="AI2" s="14"/>
      <c r="AJ2" s="14"/>
      <c r="AK2" s="14"/>
      <c r="AL2" s="14"/>
      <c r="AM2" s="14"/>
      <c r="AN2" s="14"/>
      <c r="AO2" s="14"/>
      <c r="AP2" s="14"/>
      <c r="AQ2" s="14"/>
      <c r="AR2" s="14"/>
      <c r="AS2" s="14"/>
      <c r="AT2" s="14"/>
      <c r="AU2" s="14"/>
      <c r="AV2" s="14"/>
      <c r="AW2" s="17"/>
      <c r="AX2" s="17"/>
      <c r="AY2" s="14"/>
      <c r="AZ2" s="14"/>
      <c r="BA2" s="18"/>
      <c r="BB2" s="13" t="s">
        <v>5</v>
      </c>
      <c r="BC2" s="14"/>
      <c r="BD2" s="14"/>
      <c r="BE2" s="14"/>
      <c r="BF2" s="14"/>
      <c r="BG2" s="14"/>
      <c r="BH2" s="14"/>
      <c r="BI2" s="14"/>
      <c r="BJ2" s="14"/>
      <c r="BK2" s="14"/>
      <c r="BL2" s="15" t="s">
        <v>173</v>
      </c>
      <c r="BM2" s="16"/>
      <c r="BN2" s="16"/>
      <c r="BO2" s="16"/>
      <c r="BP2" s="16"/>
      <c r="BQ2" s="16"/>
      <c r="BR2" s="16"/>
      <c r="BS2" s="16"/>
      <c r="BT2" s="16"/>
      <c r="BU2" s="16"/>
      <c r="BV2" s="16"/>
      <c r="BW2" s="16"/>
      <c r="BX2" s="16"/>
      <c r="BY2" s="16"/>
      <c r="BZ2" s="16"/>
      <c r="CA2" s="16"/>
      <c r="CB2" s="16"/>
      <c r="CC2" s="16"/>
      <c r="CD2" s="16"/>
      <c r="CE2" s="16"/>
    </row>
    <row r="3" spans="1:83" ht="170.25" customHeight="1" thickBot="1" x14ac:dyDescent="0.4">
      <c r="A3" s="4"/>
      <c r="B3" s="4"/>
      <c r="C3" s="4"/>
      <c r="D3" s="4"/>
      <c r="E3" s="4"/>
      <c r="F3" s="5" t="s">
        <v>153</v>
      </c>
      <c r="G3" s="6" t="s">
        <v>156</v>
      </c>
      <c r="H3" s="6" t="s">
        <v>157</v>
      </c>
      <c r="I3" s="6" t="s">
        <v>175</v>
      </c>
      <c r="J3" s="6" t="s">
        <v>158</v>
      </c>
      <c r="K3" s="6" t="s">
        <v>159</v>
      </c>
      <c r="L3" s="6" t="s">
        <v>160</v>
      </c>
      <c r="M3" s="6" t="s">
        <v>161</v>
      </c>
      <c r="N3" s="6" t="s">
        <v>176</v>
      </c>
      <c r="O3" s="6" t="s">
        <v>177</v>
      </c>
      <c r="P3" s="6" t="s">
        <v>6</v>
      </c>
      <c r="Q3" s="6" t="s">
        <v>7</v>
      </c>
      <c r="R3" s="6" t="s">
        <v>8</v>
      </c>
      <c r="S3" s="6" t="s">
        <v>178</v>
      </c>
      <c r="T3" s="6" t="s">
        <v>179</v>
      </c>
      <c r="U3" s="6" t="s">
        <v>180</v>
      </c>
      <c r="V3" s="6" t="s">
        <v>181</v>
      </c>
      <c r="W3" s="6" t="s">
        <v>9</v>
      </c>
      <c r="X3" s="6" t="s">
        <v>182</v>
      </c>
      <c r="Y3" s="6" t="s">
        <v>183</v>
      </c>
      <c r="Z3" s="6" t="s">
        <v>10</v>
      </c>
      <c r="AA3" s="6" t="s">
        <v>11</v>
      </c>
      <c r="AB3" s="6" t="s">
        <v>12</v>
      </c>
      <c r="AC3" s="6" t="s">
        <v>13</v>
      </c>
      <c r="AD3" s="6" t="s">
        <v>14</v>
      </c>
      <c r="AE3" s="6" t="s">
        <v>15</v>
      </c>
      <c r="AF3" s="6" t="s">
        <v>16</v>
      </c>
      <c r="AG3" s="6" t="s">
        <v>17</v>
      </c>
      <c r="AH3" s="6" t="s">
        <v>18</v>
      </c>
      <c r="AI3" s="6" t="s">
        <v>19</v>
      </c>
      <c r="AJ3" s="6" t="s">
        <v>20</v>
      </c>
      <c r="AK3" s="6" t="s">
        <v>21</v>
      </c>
      <c r="AL3" s="6" t="s">
        <v>22</v>
      </c>
      <c r="AM3" s="6" t="s">
        <v>23</v>
      </c>
      <c r="AN3" s="6" t="s">
        <v>24</v>
      </c>
      <c r="AO3" s="6" t="s">
        <v>25</v>
      </c>
      <c r="AP3" s="6" t="s">
        <v>26</v>
      </c>
      <c r="AQ3" s="6" t="s">
        <v>27</v>
      </c>
      <c r="AR3" s="6" t="s">
        <v>184</v>
      </c>
      <c r="AS3" s="6" t="s">
        <v>185</v>
      </c>
      <c r="AT3" s="6" t="s">
        <v>187</v>
      </c>
      <c r="AU3" s="6" t="s">
        <v>186</v>
      </c>
      <c r="AV3" s="6" t="s">
        <v>188</v>
      </c>
      <c r="AW3" s="6" t="s">
        <v>189</v>
      </c>
      <c r="AX3" s="6" t="s">
        <v>169</v>
      </c>
      <c r="AY3" s="6" t="s">
        <v>190</v>
      </c>
      <c r="AZ3" s="6" t="s">
        <v>191</v>
      </c>
      <c r="BA3" s="6" t="s">
        <v>192</v>
      </c>
      <c r="BB3" s="5" t="s">
        <v>193</v>
      </c>
      <c r="BC3" s="6" t="s">
        <v>28</v>
      </c>
      <c r="BD3" s="6" t="s">
        <v>162</v>
      </c>
      <c r="BE3" s="6" t="s">
        <v>29</v>
      </c>
      <c r="BF3" s="6" t="s">
        <v>194</v>
      </c>
      <c r="BG3" s="6" t="s">
        <v>30</v>
      </c>
      <c r="BH3" s="6" t="s">
        <v>31</v>
      </c>
      <c r="BI3" s="6" t="s">
        <v>32</v>
      </c>
      <c r="BJ3" s="6" t="s">
        <v>33</v>
      </c>
      <c r="BK3" s="6" t="s">
        <v>34</v>
      </c>
      <c r="BL3" s="5" t="s">
        <v>170</v>
      </c>
      <c r="BM3" s="6" t="s">
        <v>35</v>
      </c>
      <c r="BN3" s="6" t="s">
        <v>36</v>
      </c>
      <c r="BO3" s="6" t="s">
        <v>171</v>
      </c>
      <c r="BP3" s="6" t="s">
        <v>172</v>
      </c>
      <c r="BQ3" s="6" t="s">
        <v>37</v>
      </c>
      <c r="BR3" s="6" t="s">
        <v>154</v>
      </c>
      <c r="BS3" s="6" t="s">
        <v>38</v>
      </c>
      <c r="BT3" s="6" t="s">
        <v>163</v>
      </c>
      <c r="BU3" s="6" t="s">
        <v>164</v>
      </c>
      <c r="BV3" s="6" t="s">
        <v>165</v>
      </c>
      <c r="BW3" s="6" t="s">
        <v>166</v>
      </c>
      <c r="BX3" s="6" t="s">
        <v>155</v>
      </c>
      <c r="BY3" s="6" t="s">
        <v>167</v>
      </c>
      <c r="BZ3" s="6" t="s">
        <v>39</v>
      </c>
      <c r="CA3" s="6" t="s">
        <v>40</v>
      </c>
      <c r="CB3" s="6" t="s">
        <v>41</v>
      </c>
      <c r="CC3" s="6" t="s">
        <v>168</v>
      </c>
      <c r="CD3" s="6" t="s">
        <v>195</v>
      </c>
      <c r="CE3" s="6" t="s">
        <v>174</v>
      </c>
    </row>
    <row r="4" spans="1:83" ht="12.75" customHeight="1" x14ac:dyDescent="0.35">
      <c r="A4" s="7" t="s">
        <v>42</v>
      </c>
      <c r="B4" s="7" t="s">
        <v>43</v>
      </c>
      <c r="C4" s="7" t="s">
        <v>44</v>
      </c>
      <c r="D4" s="7" t="s">
        <v>45</v>
      </c>
      <c r="E4" s="7" t="s">
        <v>46</v>
      </c>
      <c r="F4" s="7" t="s">
        <v>47</v>
      </c>
      <c r="G4" s="7" t="s">
        <v>47</v>
      </c>
      <c r="H4" s="7" t="s">
        <v>47</v>
      </c>
      <c r="I4" s="7"/>
      <c r="J4" s="7" t="s">
        <v>47</v>
      </c>
      <c r="K4" s="7" t="s">
        <v>47</v>
      </c>
      <c r="L4" s="7" t="s">
        <v>47</v>
      </c>
      <c r="M4" s="7" t="s">
        <v>47</v>
      </c>
      <c r="N4" s="7" t="s">
        <v>47</v>
      </c>
      <c r="O4" s="7" t="s">
        <v>47</v>
      </c>
      <c r="P4" s="7" t="s">
        <v>47</v>
      </c>
      <c r="Q4" s="7" t="s">
        <v>47</v>
      </c>
      <c r="R4" s="7" t="s">
        <v>47</v>
      </c>
      <c r="S4" s="7" t="s">
        <v>47</v>
      </c>
      <c r="T4" s="7" t="s">
        <v>47</v>
      </c>
      <c r="U4" s="7" t="s">
        <v>47</v>
      </c>
      <c r="V4" s="7" t="s">
        <v>49</v>
      </c>
      <c r="W4" s="7" t="s">
        <v>48</v>
      </c>
      <c r="X4" s="7" t="s">
        <v>47</v>
      </c>
      <c r="Y4" s="7" t="s">
        <v>47</v>
      </c>
      <c r="Z4" s="7" t="s">
        <v>47</v>
      </c>
      <c r="AA4" s="7" t="s">
        <v>48</v>
      </c>
      <c r="AB4" s="7" t="s">
        <v>47</v>
      </c>
      <c r="AC4" s="7" t="s">
        <v>48</v>
      </c>
      <c r="AD4" s="7" t="s">
        <v>47</v>
      </c>
      <c r="AE4" s="7" t="s">
        <v>48</v>
      </c>
      <c r="AF4" s="7" t="s">
        <v>47</v>
      </c>
      <c r="AG4" s="7" t="s">
        <v>48</v>
      </c>
      <c r="AH4" s="7" t="s">
        <v>47</v>
      </c>
      <c r="AI4" s="7" t="s">
        <v>48</v>
      </c>
      <c r="AJ4" s="7" t="s">
        <v>47</v>
      </c>
      <c r="AK4" s="7" t="s">
        <v>48</v>
      </c>
      <c r="AL4" s="7" t="s">
        <v>47</v>
      </c>
      <c r="AM4" s="7" t="s">
        <v>48</v>
      </c>
      <c r="AN4" s="7" t="s">
        <v>47</v>
      </c>
      <c r="AO4" s="7" t="s">
        <v>48</v>
      </c>
      <c r="AP4" s="7" t="s">
        <v>47</v>
      </c>
      <c r="AQ4" s="7" t="s">
        <v>48</v>
      </c>
      <c r="AR4" s="7" t="s">
        <v>47</v>
      </c>
      <c r="AS4" s="7" t="s">
        <v>47</v>
      </c>
      <c r="AT4" s="7" t="s">
        <v>47</v>
      </c>
      <c r="AU4" s="7" t="s">
        <v>47</v>
      </c>
      <c r="AV4" s="7" t="s">
        <v>47</v>
      </c>
      <c r="AW4" s="7" t="s">
        <v>47</v>
      </c>
      <c r="AX4" s="7">
        <f>MEDIAN(MEDIAN(3,7), MEDIAN(1,2), MEDIAN(5,7), 0, 7)</f>
        <v>5</v>
      </c>
      <c r="AY4" s="7">
        <f>MEDIAN(MEDIAN(0, 100), 0, 0,0)</f>
        <v>0</v>
      </c>
      <c r="AZ4" s="7">
        <f>MEDIAN(MEDIAN(31, 50), MEDIAN(14,24), 120, 50, 40)</f>
        <v>40.5</v>
      </c>
      <c r="BA4" s="7" t="s">
        <v>50</v>
      </c>
      <c r="BB4" s="7" t="s">
        <v>50</v>
      </c>
      <c r="BC4" s="7" t="s">
        <v>50</v>
      </c>
      <c r="BD4" s="7" t="s">
        <v>47</v>
      </c>
      <c r="BE4" s="7" t="s">
        <v>47</v>
      </c>
      <c r="BF4" s="7"/>
      <c r="BG4" s="7" t="s">
        <v>50</v>
      </c>
      <c r="BH4" s="7" t="s">
        <v>47</v>
      </c>
      <c r="BI4" s="7" t="s">
        <v>47</v>
      </c>
      <c r="BJ4" s="7" t="s">
        <v>50</v>
      </c>
      <c r="BK4" s="7" t="s">
        <v>47</v>
      </c>
      <c r="BL4" s="7"/>
      <c r="BM4" s="7" t="s">
        <v>47</v>
      </c>
      <c r="BN4" s="7" t="s">
        <v>50</v>
      </c>
      <c r="BO4" s="7" t="s">
        <v>50</v>
      </c>
      <c r="BP4" s="7" t="s">
        <v>50</v>
      </c>
      <c r="BQ4" s="7" t="s">
        <v>47</v>
      </c>
      <c r="BR4" s="7"/>
      <c r="BS4" s="7" t="s">
        <v>47</v>
      </c>
      <c r="BT4" s="7" t="s">
        <v>47</v>
      </c>
      <c r="BU4" s="7" t="s">
        <v>47</v>
      </c>
      <c r="BV4" s="7" t="s">
        <v>47</v>
      </c>
      <c r="BW4" s="7" t="s">
        <v>50</v>
      </c>
      <c r="BX4" s="7" t="s">
        <v>50</v>
      </c>
      <c r="BY4" s="7"/>
      <c r="BZ4" s="7" t="s">
        <v>47</v>
      </c>
      <c r="CA4" s="7" t="s">
        <v>47</v>
      </c>
      <c r="CB4" s="7" t="s">
        <v>50</v>
      </c>
      <c r="CC4" s="7" t="s">
        <v>50</v>
      </c>
      <c r="CD4" s="7">
        <f>MEDIAN(MEDIAN(2,5), 1, 0, MEDIAN(1, 3), MEDIAN(1, 2))</f>
        <v>1.5</v>
      </c>
      <c r="CE4" s="7">
        <f>MEDIAN(21, 30, 20, 0)</f>
        <v>20.5</v>
      </c>
    </row>
    <row r="5" spans="1:83" ht="12.75" customHeight="1" x14ac:dyDescent="0.35">
      <c r="A5" s="7" t="s">
        <v>51</v>
      </c>
      <c r="B5" s="7" t="s">
        <v>52</v>
      </c>
      <c r="C5" s="7" t="s">
        <v>53</v>
      </c>
      <c r="D5" s="7" t="s">
        <v>54</v>
      </c>
      <c r="E5" s="7" t="s">
        <v>46</v>
      </c>
      <c r="F5" s="7" t="s">
        <v>50</v>
      </c>
      <c r="G5" s="7" t="s">
        <v>50</v>
      </c>
      <c r="H5" s="7" t="s">
        <v>50</v>
      </c>
      <c r="I5" s="7"/>
      <c r="J5" s="7" t="s">
        <v>50</v>
      </c>
      <c r="K5" s="7" t="s">
        <v>50</v>
      </c>
      <c r="L5" s="7" t="s">
        <v>50</v>
      </c>
      <c r="M5" s="7" t="s">
        <v>50</v>
      </c>
      <c r="N5" s="7" t="s">
        <v>50</v>
      </c>
      <c r="O5" s="7" t="s">
        <v>50</v>
      </c>
      <c r="P5" s="7" t="s">
        <v>47</v>
      </c>
      <c r="Q5" s="7" t="s">
        <v>47</v>
      </c>
      <c r="R5" s="7" t="s">
        <v>47</v>
      </c>
      <c r="S5" s="7" t="s">
        <v>50</v>
      </c>
      <c r="T5" s="7" t="s">
        <v>50</v>
      </c>
      <c r="U5" s="7" t="s">
        <v>50</v>
      </c>
      <c r="V5" s="7" t="s">
        <v>55</v>
      </c>
      <c r="W5" s="7" t="s">
        <v>48</v>
      </c>
      <c r="X5" s="7" t="s">
        <v>50</v>
      </c>
      <c r="Y5" s="7" t="s">
        <v>50</v>
      </c>
      <c r="Z5" s="7" t="s">
        <v>50</v>
      </c>
      <c r="AA5" s="8">
        <v>0.4</v>
      </c>
      <c r="AB5" s="7" t="s">
        <v>47</v>
      </c>
      <c r="AC5" s="7" t="s">
        <v>48</v>
      </c>
      <c r="AD5" s="7" t="s">
        <v>50</v>
      </c>
      <c r="AE5" s="7" t="s">
        <v>56</v>
      </c>
      <c r="AF5" s="7" t="s">
        <v>50</v>
      </c>
      <c r="AG5" s="7" t="s">
        <v>57</v>
      </c>
      <c r="AH5" s="7" t="s">
        <v>47</v>
      </c>
      <c r="AI5" s="7" t="s">
        <v>48</v>
      </c>
      <c r="AJ5" s="7" t="s">
        <v>47</v>
      </c>
      <c r="AK5" s="7" t="s">
        <v>48</v>
      </c>
      <c r="AL5" s="7" t="s">
        <v>47</v>
      </c>
      <c r="AM5" s="7" t="s">
        <v>48</v>
      </c>
      <c r="AN5" s="7" t="s">
        <v>50</v>
      </c>
      <c r="AO5" s="7" t="s">
        <v>58</v>
      </c>
      <c r="AP5" s="7" t="s">
        <v>50</v>
      </c>
      <c r="AQ5" s="7" t="s">
        <v>59</v>
      </c>
      <c r="AR5" s="7" t="s">
        <v>50</v>
      </c>
      <c r="AS5" s="7" t="s">
        <v>50</v>
      </c>
      <c r="AT5" s="7" t="s">
        <v>50</v>
      </c>
      <c r="AU5" s="7" t="s">
        <v>50</v>
      </c>
      <c r="AV5" s="7" t="s">
        <v>47</v>
      </c>
      <c r="AW5" s="7" t="s">
        <v>47</v>
      </c>
      <c r="AX5" s="7">
        <f>MEDIAN(3, 2, 7)</f>
        <v>3</v>
      </c>
      <c r="AY5" s="7">
        <f>MEDIAN(160, 0, 0)</f>
        <v>0</v>
      </c>
      <c r="AZ5" s="7">
        <f>MEDIAN(182, 500, 100)</f>
        <v>182</v>
      </c>
      <c r="BA5" s="7" t="s">
        <v>47</v>
      </c>
      <c r="BB5" s="7" t="s">
        <v>50</v>
      </c>
      <c r="BC5" s="7" t="s">
        <v>50</v>
      </c>
      <c r="BD5" s="7" t="s">
        <v>47</v>
      </c>
      <c r="BE5" s="7" t="s">
        <v>47</v>
      </c>
      <c r="BF5" s="7"/>
      <c r="BG5" s="7" t="s">
        <v>50</v>
      </c>
      <c r="BH5" s="7" t="s">
        <v>47</v>
      </c>
      <c r="BI5" s="7" t="s">
        <v>47</v>
      </c>
      <c r="BJ5" s="7" t="s">
        <v>50</v>
      </c>
      <c r="BK5" s="7" t="s">
        <v>47</v>
      </c>
      <c r="BL5" s="7"/>
      <c r="BM5" s="7" t="s">
        <v>47</v>
      </c>
      <c r="BN5" s="7" t="s">
        <v>50</v>
      </c>
      <c r="BO5" s="7" t="s">
        <v>50</v>
      </c>
      <c r="BP5" s="7" t="s">
        <v>50</v>
      </c>
      <c r="BQ5" s="7" t="s">
        <v>47</v>
      </c>
      <c r="BR5" s="7"/>
      <c r="BS5" s="7" t="s">
        <v>47</v>
      </c>
      <c r="BT5" s="7" t="s">
        <v>50</v>
      </c>
      <c r="BU5" s="7" t="s">
        <v>47</v>
      </c>
      <c r="BV5" s="7" t="s">
        <v>47</v>
      </c>
      <c r="BW5" s="7" t="s">
        <v>50</v>
      </c>
      <c r="BX5" s="7" t="s">
        <v>50</v>
      </c>
      <c r="BY5" s="7"/>
      <c r="BZ5" s="7" t="s">
        <v>50</v>
      </c>
      <c r="CA5" s="7" t="s">
        <v>47</v>
      </c>
      <c r="CB5" s="7" t="s">
        <v>50</v>
      </c>
      <c r="CC5" s="7" t="s">
        <v>50</v>
      </c>
      <c r="CD5" s="7">
        <f>MEDIAN(7, MEDIAN(2,3), 4)</f>
        <v>4</v>
      </c>
      <c r="CE5" s="7">
        <f>MEDIAN(9.52, 10, 10)</f>
        <v>10</v>
      </c>
    </row>
    <row r="6" spans="1:83" ht="12.75" customHeight="1" x14ac:dyDescent="0.35">
      <c r="A6" s="7" t="s">
        <v>60</v>
      </c>
      <c r="B6" s="7" t="s">
        <v>61</v>
      </c>
      <c r="C6" s="7" t="s">
        <v>62</v>
      </c>
      <c r="D6" s="7" t="s">
        <v>63</v>
      </c>
      <c r="E6" s="7" t="s">
        <v>64</v>
      </c>
      <c r="F6" s="7" t="s">
        <v>50</v>
      </c>
      <c r="G6" s="7" t="s">
        <v>50</v>
      </c>
      <c r="H6" s="7" t="s">
        <v>50</v>
      </c>
      <c r="I6" s="7"/>
      <c r="J6" s="7" t="s">
        <v>50</v>
      </c>
      <c r="K6" s="7" t="s">
        <v>50</v>
      </c>
      <c r="L6" s="7" t="s">
        <v>50</v>
      </c>
      <c r="M6" s="7" t="s">
        <v>50</v>
      </c>
      <c r="N6" s="7" t="s">
        <v>50</v>
      </c>
      <c r="O6" s="7" t="s">
        <v>50</v>
      </c>
      <c r="P6" s="7" t="s">
        <v>47</v>
      </c>
      <c r="Q6" s="7" t="s">
        <v>47</v>
      </c>
      <c r="R6" s="7" t="s">
        <v>47</v>
      </c>
      <c r="S6" s="7" t="s">
        <v>50</v>
      </c>
      <c r="T6" s="7" t="s">
        <v>50</v>
      </c>
      <c r="U6" s="7" t="s">
        <v>50</v>
      </c>
      <c r="V6" s="7" t="s">
        <v>49</v>
      </c>
      <c r="W6" s="7" t="s">
        <v>48</v>
      </c>
      <c r="X6" s="7" t="s">
        <v>50</v>
      </c>
      <c r="Y6" s="7" t="s">
        <v>50</v>
      </c>
      <c r="Z6" s="7" t="s">
        <v>50</v>
      </c>
      <c r="AA6" s="8">
        <v>0.5</v>
      </c>
      <c r="AB6" s="7" t="s">
        <v>50</v>
      </c>
      <c r="AC6" s="7" t="s">
        <v>65</v>
      </c>
      <c r="AD6" s="7" t="s">
        <v>50</v>
      </c>
      <c r="AE6" s="7" t="s">
        <v>66</v>
      </c>
      <c r="AF6" s="7" t="s">
        <v>50</v>
      </c>
      <c r="AG6" s="8">
        <v>0.35</v>
      </c>
      <c r="AH6" s="7" t="s">
        <v>50</v>
      </c>
      <c r="AI6" s="7" t="s">
        <v>66</v>
      </c>
      <c r="AJ6" s="7" t="s">
        <v>47</v>
      </c>
      <c r="AK6" s="7" t="s">
        <v>48</v>
      </c>
      <c r="AL6" s="7" t="s">
        <v>50</v>
      </c>
      <c r="AM6" s="8">
        <v>1</v>
      </c>
      <c r="AN6" s="7" t="s">
        <v>50</v>
      </c>
      <c r="AO6" s="7" t="s">
        <v>67</v>
      </c>
      <c r="AP6" s="7" t="s">
        <v>50</v>
      </c>
      <c r="AQ6" s="7" t="s">
        <v>68</v>
      </c>
      <c r="AR6" s="7" t="s">
        <v>47</v>
      </c>
      <c r="AS6" s="7" t="s">
        <v>47</v>
      </c>
      <c r="AT6" s="7" t="s">
        <v>47</v>
      </c>
      <c r="AU6" s="7" t="s">
        <v>47</v>
      </c>
      <c r="AV6" s="7" t="s">
        <v>50</v>
      </c>
      <c r="AW6" s="7" t="s">
        <v>47</v>
      </c>
      <c r="AX6" s="7">
        <f>MEDIAN(2, 45, 14)</f>
        <v>14</v>
      </c>
      <c r="AY6" s="7">
        <f>MEDIAN(87,66.5712, 354)</f>
        <v>87</v>
      </c>
      <c r="AZ6" s="7">
        <f>MEDIAN(2500, 354, 4615.616)</f>
        <v>2500</v>
      </c>
      <c r="BA6" s="7" t="s">
        <v>47</v>
      </c>
      <c r="BB6" s="7" t="s">
        <v>50</v>
      </c>
      <c r="BC6" s="7" t="s">
        <v>50</v>
      </c>
      <c r="BD6" s="7" t="s">
        <v>50</v>
      </c>
      <c r="BE6" s="7" t="s">
        <v>50</v>
      </c>
      <c r="BF6" s="7"/>
      <c r="BG6" s="7" t="s">
        <v>50</v>
      </c>
      <c r="BH6" s="7" t="s">
        <v>47</v>
      </c>
      <c r="BI6" s="7" t="s">
        <v>50</v>
      </c>
      <c r="BJ6" s="7" t="s">
        <v>50</v>
      </c>
      <c r="BK6" s="7" t="s">
        <v>50</v>
      </c>
      <c r="BL6" s="7"/>
      <c r="BM6" s="7" t="s">
        <v>47</v>
      </c>
      <c r="BN6" s="7" t="s">
        <v>50</v>
      </c>
      <c r="BO6" s="7" t="s">
        <v>50</v>
      </c>
      <c r="BP6" s="7" t="s">
        <v>50</v>
      </c>
      <c r="BQ6" s="7" t="s">
        <v>47</v>
      </c>
      <c r="BR6" s="7"/>
      <c r="BS6" s="7" t="s">
        <v>47</v>
      </c>
      <c r="BT6" s="7" t="s">
        <v>50</v>
      </c>
      <c r="BU6" s="7" t="s">
        <v>50</v>
      </c>
      <c r="BV6" s="7" t="s">
        <v>50</v>
      </c>
      <c r="BW6" s="7" t="s">
        <v>50</v>
      </c>
      <c r="BX6" s="7" t="s">
        <v>50</v>
      </c>
      <c r="BY6" s="7"/>
      <c r="BZ6" s="7" t="s">
        <v>47</v>
      </c>
      <c r="CA6" s="7" t="s">
        <v>47</v>
      </c>
      <c r="CB6" s="7" t="s">
        <v>47</v>
      </c>
      <c r="CC6" s="7" t="s">
        <v>50</v>
      </c>
      <c r="CD6" s="7">
        <f>MEDIAN(30, 30,0)</f>
        <v>30</v>
      </c>
      <c r="CE6" s="7">
        <f>MEDIAN(463.11, 61.08202, 66.5712)</f>
        <v>66.571200000000005</v>
      </c>
    </row>
    <row r="7" spans="1:83" ht="12.75" customHeight="1" x14ac:dyDescent="0.35">
      <c r="A7" s="7" t="s">
        <v>69</v>
      </c>
      <c r="B7" s="7" t="s">
        <v>70</v>
      </c>
      <c r="C7" s="7" t="s">
        <v>71</v>
      </c>
      <c r="D7" s="7" t="s">
        <v>72</v>
      </c>
      <c r="E7" s="7" t="s">
        <v>73</v>
      </c>
      <c r="F7" s="7" t="s">
        <v>50</v>
      </c>
      <c r="G7" s="7" t="s">
        <v>47</v>
      </c>
      <c r="H7" s="7" t="s">
        <v>50</v>
      </c>
      <c r="I7" s="7"/>
      <c r="J7" s="7" t="s">
        <v>50</v>
      </c>
      <c r="K7" s="7" t="s">
        <v>50</v>
      </c>
      <c r="L7" s="7" t="s">
        <v>50</v>
      </c>
      <c r="M7" s="7" t="s">
        <v>50</v>
      </c>
      <c r="N7" s="7" t="s">
        <v>50</v>
      </c>
      <c r="O7" s="7" t="s">
        <v>50</v>
      </c>
      <c r="P7" s="7" t="s">
        <v>47</v>
      </c>
      <c r="Q7" s="7" t="s">
        <v>47</v>
      </c>
      <c r="R7" s="7" t="s">
        <v>47</v>
      </c>
      <c r="S7" s="7" t="s">
        <v>50</v>
      </c>
      <c r="T7" s="7" t="s">
        <v>47</v>
      </c>
      <c r="U7" s="7" t="s">
        <v>50</v>
      </c>
      <c r="V7" s="7" t="s">
        <v>49</v>
      </c>
      <c r="W7" s="7" t="s">
        <v>48</v>
      </c>
      <c r="X7" s="7" t="s">
        <v>47</v>
      </c>
      <c r="Y7" s="7" t="s">
        <v>50</v>
      </c>
      <c r="Z7" s="7" t="s">
        <v>50</v>
      </c>
      <c r="AA7" s="8">
        <v>0.5</v>
      </c>
      <c r="AB7" s="7" t="s">
        <v>47</v>
      </c>
      <c r="AC7" s="7" t="s">
        <v>48</v>
      </c>
      <c r="AD7" s="7" t="s">
        <v>47</v>
      </c>
      <c r="AE7" s="7" t="s">
        <v>48</v>
      </c>
      <c r="AF7" s="7" t="s">
        <v>47</v>
      </c>
      <c r="AG7" s="7" t="s">
        <v>48</v>
      </c>
      <c r="AH7" s="7" t="s">
        <v>47</v>
      </c>
      <c r="AI7" s="7" t="s">
        <v>48</v>
      </c>
      <c r="AJ7" s="7" t="s">
        <v>47</v>
      </c>
      <c r="AK7" s="7" t="s">
        <v>48</v>
      </c>
      <c r="AL7" s="7" t="s">
        <v>47</v>
      </c>
      <c r="AM7" s="7" t="s">
        <v>48</v>
      </c>
      <c r="AN7" s="7" t="s">
        <v>47</v>
      </c>
      <c r="AO7" s="7" t="s">
        <v>48</v>
      </c>
      <c r="AP7" s="7" t="s">
        <v>47</v>
      </c>
      <c r="AQ7" s="7" t="s">
        <v>48</v>
      </c>
      <c r="AR7" s="7" t="s">
        <v>47</v>
      </c>
      <c r="AS7" s="7" t="s">
        <v>47</v>
      </c>
      <c r="AT7" s="7" t="s">
        <v>47</v>
      </c>
      <c r="AU7" s="7" t="s">
        <v>47</v>
      </c>
      <c r="AV7" s="7" t="s">
        <v>50</v>
      </c>
      <c r="AW7" s="7" t="s">
        <v>50</v>
      </c>
      <c r="AX7" s="7">
        <f>MEDIAN(MEDIAN(3,5), MEDIAN(3,5), 15)</f>
        <v>4</v>
      </c>
      <c r="AY7" s="7">
        <f>MEDIAN(MEDIAN(50, 80), 30, 35)</f>
        <v>35</v>
      </c>
      <c r="AZ7" s="7">
        <f>MEDIAN(100, 35, 30)</f>
        <v>35</v>
      </c>
      <c r="BA7" s="7" t="s">
        <v>47</v>
      </c>
      <c r="BB7" s="7" t="s">
        <v>50</v>
      </c>
      <c r="BC7" s="7" t="s">
        <v>50</v>
      </c>
      <c r="BD7" s="7" t="s">
        <v>50</v>
      </c>
      <c r="BE7" s="7" t="s">
        <v>50</v>
      </c>
      <c r="BF7" s="7"/>
      <c r="BG7" s="7" t="s">
        <v>50</v>
      </c>
      <c r="BH7" s="7" t="s">
        <v>47</v>
      </c>
      <c r="BI7" s="7" t="s">
        <v>47</v>
      </c>
      <c r="BJ7" s="7" t="s">
        <v>50</v>
      </c>
      <c r="BK7" s="7" t="s">
        <v>47</v>
      </c>
      <c r="BL7" s="7"/>
      <c r="BM7" s="7" t="s">
        <v>47</v>
      </c>
      <c r="BN7" s="7" t="s">
        <v>47</v>
      </c>
      <c r="BO7" s="7" t="s">
        <v>47</v>
      </c>
      <c r="BP7" s="7" t="s">
        <v>47</v>
      </c>
      <c r="BQ7" s="7" t="s">
        <v>47</v>
      </c>
      <c r="BR7" s="7"/>
      <c r="BS7" s="7" t="s">
        <v>50</v>
      </c>
      <c r="BT7" s="7" t="s">
        <v>47</v>
      </c>
      <c r="BU7" s="7" t="s">
        <v>47</v>
      </c>
      <c r="BV7" s="7" t="s">
        <v>47</v>
      </c>
      <c r="BW7" s="7" t="s">
        <v>50</v>
      </c>
      <c r="BX7" s="7" t="s">
        <v>47</v>
      </c>
      <c r="BY7" s="7"/>
      <c r="BZ7" s="7" t="s">
        <v>50</v>
      </c>
      <c r="CA7" s="7" t="s">
        <v>47</v>
      </c>
      <c r="CB7" s="7" t="s">
        <v>50</v>
      </c>
      <c r="CC7" s="7" t="s">
        <v>50</v>
      </c>
      <c r="CD7" s="7">
        <f>MEDIAN(1, 2, 1)</f>
        <v>1</v>
      </c>
      <c r="CE7" s="7">
        <f>MEDIAN(80, 10, 12.99)</f>
        <v>12.99</v>
      </c>
    </row>
    <row r="8" spans="1:83" ht="12.75" customHeight="1" x14ac:dyDescent="0.35">
      <c r="A8" s="7" t="s">
        <v>74</v>
      </c>
      <c r="B8" s="7" t="s">
        <v>75</v>
      </c>
      <c r="C8" s="7" t="s">
        <v>44</v>
      </c>
      <c r="D8" s="7" t="s">
        <v>45</v>
      </c>
      <c r="E8" s="7" t="s">
        <v>76</v>
      </c>
      <c r="F8" s="7" t="s">
        <v>50</v>
      </c>
      <c r="G8" s="7" t="s">
        <v>50</v>
      </c>
      <c r="H8" s="7" t="s">
        <v>50</v>
      </c>
      <c r="I8" s="7"/>
      <c r="J8" s="7" t="s">
        <v>47</v>
      </c>
      <c r="K8" s="7" t="s">
        <v>47</v>
      </c>
      <c r="L8" s="7" t="s">
        <v>50</v>
      </c>
      <c r="M8" s="7" t="s">
        <v>50</v>
      </c>
      <c r="N8" s="7" t="s">
        <v>50</v>
      </c>
      <c r="O8" s="7" t="s">
        <v>47</v>
      </c>
      <c r="P8" s="7" t="s">
        <v>47</v>
      </c>
      <c r="Q8" s="7" t="s">
        <v>47</v>
      </c>
      <c r="R8" s="7" t="s">
        <v>47</v>
      </c>
      <c r="S8" s="7" t="s">
        <v>50</v>
      </c>
      <c r="T8" s="7" t="s">
        <v>50</v>
      </c>
      <c r="U8" s="7" t="s">
        <v>50</v>
      </c>
      <c r="V8" s="7" t="s">
        <v>77</v>
      </c>
      <c r="W8" s="7" t="s">
        <v>78</v>
      </c>
      <c r="X8" s="7" t="s">
        <v>50</v>
      </c>
      <c r="Y8" s="7" t="s">
        <v>50</v>
      </c>
      <c r="Z8" s="7" t="s">
        <v>50</v>
      </c>
      <c r="AA8" s="8">
        <v>1</v>
      </c>
      <c r="AB8" s="7" t="s">
        <v>50</v>
      </c>
      <c r="AC8" s="8">
        <v>1</v>
      </c>
      <c r="AD8" s="7" t="s">
        <v>50</v>
      </c>
      <c r="AE8" s="8">
        <v>1</v>
      </c>
      <c r="AF8" s="7" t="s">
        <v>50</v>
      </c>
      <c r="AG8" s="8">
        <v>1</v>
      </c>
      <c r="AH8" s="7" t="s">
        <v>47</v>
      </c>
      <c r="AI8" s="7" t="s">
        <v>48</v>
      </c>
      <c r="AJ8" s="7" t="s">
        <v>47</v>
      </c>
      <c r="AK8" s="7" t="s">
        <v>48</v>
      </c>
      <c r="AL8" s="7" t="s">
        <v>47</v>
      </c>
      <c r="AM8" s="7" t="s">
        <v>48</v>
      </c>
      <c r="AN8" s="7" t="s">
        <v>50</v>
      </c>
      <c r="AO8" s="7" t="s">
        <v>197</v>
      </c>
      <c r="AP8" s="7" t="s">
        <v>47</v>
      </c>
      <c r="AQ8" s="7" t="s">
        <v>48</v>
      </c>
      <c r="AR8" s="7" t="s">
        <v>47</v>
      </c>
      <c r="AS8" s="7" t="s">
        <v>47</v>
      </c>
      <c r="AT8" s="7" t="s">
        <v>47</v>
      </c>
      <c r="AU8" s="7" t="s">
        <v>47</v>
      </c>
      <c r="AV8" s="7" t="s">
        <v>47</v>
      </c>
      <c r="AW8" s="7" t="s">
        <v>50</v>
      </c>
      <c r="AX8" s="7">
        <f>MEDIAN(MEDIAN(7,18), 60, 0)</f>
        <v>12.5</v>
      </c>
      <c r="AY8" s="7">
        <v>0</v>
      </c>
      <c r="AZ8" s="7">
        <f>MEDIAN(70, 400, 40)</f>
        <v>70</v>
      </c>
      <c r="BA8" s="7" t="s">
        <v>50</v>
      </c>
      <c r="BB8" s="7" t="s">
        <v>50</v>
      </c>
      <c r="BC8" s="7" t="s">
        <v>50</v>
      </c>
      <c r="BD8" s="7" t="s">
        <v>50</v>
      </c>
      <c r="BE8" s="7" t="s">
        <v>50</v>
      </c>
      <c r="BF8" s="7"/>
      <c r="BG8" s="7" t="s">
        <v>50</v>
      </c>
      <c r="BH8" s="7" t="s">
        <v>50</v>
      </c>
      <c r="BI8" s="7" t="s">
        <v>50</v>
      </c>
      <c r="BJ8" s="7" t="s">
        <v>50</v>
      </c>
      <c r="BK8" s="7" t="s">
        <v>47</v>
      </c>
      <c r="BL8" s="7"/>
      <c r="BM8" s="7" t="s">
        <v>47</v>
      </c>
      <c r="BN8" s="7" t="s">
        <v>50</v>
      </c>
      <c r="BO8" s="7" t="s">
        <v>47</v>
      </c>
      <c r="BP8" s="7" t="s">
        <v>50</v>
      </c>
      <c r="BQ8" s="7" t="s">
        <v>47</v>
      </c>
      <c r="BR8" s="7"/>
      <c r="BS8" s="7" t="s">
        <v>47</v>
      </c>
      <c r="BT8" s="7" t="s">
        <v>50</v>
      </c>
      <c r="BU8" s="7" t="s">
        <v>47</v>
      </c>
      <c r="BV8" s="7" t="s">
        <v>50</v>
      </c>
      <c r="BW8" s="7" t="s">
        <v>50</v>
      </c>
      <c r="BX8" s="7" t="s">
        <v>50</v>
      </c>
      <c r="BY8" s="7"/>
      <c r="BZ8" s="7" t="s">
        <v>50</v>
      </c>
      <c r="CA8" s="7" t="s">
        <v>50</v>
      </c>
      <c r="CB8" s="7" t="s">
        <v>50</v>
      </c>
      <c r="CC8" s="7" t="s">
        <v>50</v>
      </c>
      <c r="CD8" s="7">
        <f>MEDIAN(0,1,0)</f>
        <v>0</v>
      </c>
      <c r="CE8" s="7">
        <f>MEDIAN(20, 10, 6.87)</f>
        <v>10</v>
      </c>
    </row>
    <row r="9" spans="1:83" ht="12.75" customHeight="1" x14ac:dyDescent="0.35">
      <c r="A9" s="7" t="s">
        <v>79</v>
      </c>
      <c r="B9" s="7" t="s">
        <v>80</v>
      </c>
      <c r="C9" s="7" t="s">
        <v>71</v>
      </c>
      <c r="D9" s="7" t="s">
        <v>72</v>
      </c>
      <c r="E9" s="7" t="s">
        <v>46</v>
      </c>
      <c r="F9" s="7" t="s">
        <v>50</v>
      </c>
      <c r="G9" s="7" t="s">
        <v>50</v>
      </c>
      <c r="H9" s="7" t="s">
        <v>47</v>
      </c>
      <c r="I9" s="7"/>
      <c r="J9" s="7" t="s">
        <v>47</v>
      </c>
      <c r="K9" s="7" t="s">
        <v>47</v>
      </c>
      <c r="L9" s="7" t="s">
        <v>47</v>
      </c>
      <c r="M9" s="7" t="s">
        <v>47</v>
      </c>
      <c r="N9" s="7" t="s">
        <v>50</v>
      </c>
      <c r="O9" s="7" t="s">
        <v>47</v>
      </c>
      <c r="P9" s="7" t="s">
        <v>47</v>
      </c>
      <c r="Q9" s="7" t="s">
        <v>47</v>
      </c>
      <c r="R9" s="7" t="s">
        <v>47</v>
      </c>
      <c r="S9" s="7" t="s">
        <v>50</v>
      </c>
      <c r="T9" s="7" t="s">
        <v>50</v>
      </c>
      <c r="U9" s="7" t="s">
        <v>50</v>
      </c>
      <c r="V9" s="7" t="s">
        <v>49</v>
      </c>
      <c r="W9" s="7" t="s">
        <v>48</v>
      </c>
      <c r="X9" s="7" t="s">
        <v>50</v>
      </c>
      <c r="Y9" s="7" t="s">
        <v>47</v>
      </c>
      <c r="Z9" s="7" t="s">
        <v>47</v>
      </c>
      <c r="AA9" s="7" t="s">
        <v>48</v>
      </c>
      <c r="AB9" s="7" t="s">
        <v>47</v>
      </c>
      <c r="AC9" s="7" t="s">
        <v>48</v>
      </c>
      <c r="AD9" s="7" t="s">
        <v>47</v>
      </c>
      <c r="AE9" s="7" t="s">
        <v>48</v>
      </c>
      <c r="AF9" s="7" t="s">
        <v>47</v>
      </c>
      <c r="AG9" s="7" t="s">
        <v>48</v>
      </c>
      <c r="AH9" s="7" t="s">
        <v>47</v>
      </c>
      <c r="AI9" s="7" t="s">
        <v>48</v>
      </c>
      <c r="AJ9" s="7" t="s">
        <v>47</v>
      </c>
      <c r="AK9" s="7" t="s">
        <v>48</v>
      </c>
      <c r="AL9" s="7" t="s">
        <v>47</v>
      </c>
      <c r="AM9" s="7" t="s">
        <v>48</v>
      </c>
      <c r="AN9" s="7" t="s">
        <v>47</v>
      </c>
      <c r="AO9" s="7" t="s">
        <v>48</v>
      </c>
      <c r="AP9" s="7" t="s">
        <v>47</v>
      </c>
      <c r="AQ9" s="7" t="s">
        <v>48</v>
      </c>
      <c r="AR9" s="7" t="s">
        <v>47</v>
      </c>
      <c r="AS9" s="7" t="s">
        <v>47</v>
      </c>
      <c r="AT9" s="7" t="s">
        <v>47</v>
      </c>
      <c r="AU9" s="7" t="s">
        <v>47</v>
      </c>
      <c r="AV9" s="7" t="s">
        <v>50</v>
      </c>
      <c r="AW9" s="7" t="s">
        <v>50</v>
      </c>
      <c r="AX9" s="7">
        <f>MEDIAN(5, 5, 7, 1)</f>
        <v>5</v>
      </c>
      <c r="AY9" s="7">
        <f>MEDIAN(100, 0, 40)</f>
        <v>40</v>
      </c>
      <c r="AZ9" s="7">
        <f>MEDIAN(200, MEDIAN(400,450), 500, 50)</f>
        <v>312.5</v>
      </c>
      <c r="BA9" s="7" t="s">
        <v>50</v>
      </c>
      <c r="BB9" s="7" t="s">
        <v>50</v>
      </c>
      <c r="BC9" s="7" t="s">
        <v>50</v>
      </c>
      <c r="BD9" s="7" t="s">
        <v>47</v>
      </c>
      <c r="BE9" s="7" t="s">
        <v>50</v>
      </c>
      <c r="BF9" s="7"/>
      <c r="BG9" s="7" t="s">
        <v>50</v>
      </c>
      <c r="BH9" s="7" t="s">
        <v>47</v>
      </c>
      <c r="BI9" s="7" t="s">
        <v>47</v>
      </c>
      <c r="BJ9" s="7" t="s">
        <v>50</v>
      </c>
      <c r="BK9" s="7" t="s">
        <v>50</v>
      </c>
      <c r="BL9" s="7"/>
      <c r="BM9" s="7" t="s">
        <v>47</v>
      </c>
      <c r="BN9" s="7" t="s">
        <v>47</v>
      </c>
      <c r="BO9" s="7" t="s">
        <v>47</v>
      </c>
      <c r="BP9" s="7" t="s">
        <v>47</v>
      </c>
      <c r="BQ9" s="7" t="s">
        <v>47</v>
      </c>
      <c r="BR9" s="7"/>
      <c r="BS9" s="7" t="s">
        <v>47</v>
      </c>
      <c r="BT9" s="7" t="s">
        <v>47</v>
      </c>
      <c r="BU9" s="7" t="s">
        <v>47</v>
      </c>
      <c r="BV9" s="7" t="s">
        <v>47</v>
      </c>
      <c r="BW9" s="7" t="s">
        <v>50</v>
      </c>
      <c r="BX9" s="7" t="s">
        <v>50</v>
      </c>
      <c r="BY9" s="7"/>
      <c r="BZ9" s="7" t="s">
        <v>47</v>
      </c>
      <c r="CA9" s="7" t="s">
        <v>47</v>
      </c>
      <c r="CB9" s="7" t="s">
        <v>47</v>
      </c>
      <c r="CC9" s="7" t="s">
        <v>50</v>
      </c>
      <c r="CD9" s="7">
        <f>MEDIAN(0, 7, 2)</f>
        <v>2</v>
      </c>
      <c r="CE9" s="7">
        <f>MEDIAN(100, 77, 60)</f>
        <v>77</v>
      </c>
    </row>
    <row r="10" spans="1:83" ht="12.75" customHeight="1" x14ac:dyDescent="0.35">
      <c r="A10" s="7" t="s">
        <v>81</v>
      </c>
      <c r="B10" s="7" t="s">
        <v>82</v>
      </c>
      <c r="C10" s="7" t="s">
        <v>83</v>
      </c>
      <c r="D10" s="7" t="s">
        <v>84</v>
      </c>
      <c r="E10" s="7" t="s">
        <v>46</v>
      </c>
      <c r="F10" s="7" t="s">
        <v>50</v>
      </c>
      <c r="G10" s="7" t="s">
        <v>50</v>
      </c>
      <c r="H10" s="7" t="s">
        <v>50</v>
      </c>
      <c r="I10" s="7"/>
      <c r="J10" s="7" t="s">
        <v>50</v>
      </c>
      <c r="K10" s="7" t="s">
        <v>50</v>
      </c>
      <c r="L10" s="7" t="s">
        <v>50</v>
      </c>
      <c r="M10" s="7" t="s">
        <v>50</v>
      </c>
      <c r="N10" s="7" t="s">
        <v>50</v>
      </c>
      <c r="O10" s="7" t="s">
        <v>50</v>
      </c>
      <c r="P10" s="7" t="s">
        <v>47</v>
      </c>
      <c r="Q10" s="7" t="s">
        <v>50</v>
      </c>
      <c r="R10" s="7" t="s">
        <v>47</v>
      </c>
      <c r="S10" s="7" t="s">
        <v>50</v>
      </c>
      <c r="T10" s="7" t="s">
        <v>47</v>
      </c>
      <c r="U10" s="7" t="s">
        <v>47</v>
      </c>
      <c r="V10" s="7" t="s">
        <v>55</v>
      </c>
      <c r="W10" s="7" t="s">
        <v>48</v>
      </c>
      <c r="X10" s="7" t="s">
        <v>50</v>
      </c>
      <c r="Y10" s="7" t="s">
        <v>50</v>
      </c>
      <c r="Z10" s="7" t="s">
        <v>50</v>
      </c>
      <c r="AA10" s="7" t="s">
        <v>85</v>
      </c>
      <c r="AB10" s="7" t="s">
        <v>47</v>
      </c>
      <c r="AC10" s="7" t="s">
        <v>48</v>
      </c>
      <c r="AD10" s="7" t="s">
        <v>50</v>
      </c>
      <c r="AE10" s="8" t="s">
        <v>86</v>
      </c>
      <c r="AF10" s="7" t="s">
        <v>50</v>
      </c>
      <c r="AG10" s="7" t="s">
        <v>87</v>
      </c>
      <c r="AH10" s="7" t="s">
        <v>50</v>
      </c>
      <c r="AI10" s="7" t="s">
        <v>88</v>
      </c>
      <c r="AJ10" s="7" t="s">
        <v>47</v>
      </c>
      <c r="AK10" s="7" t="s">
        <v>48</v>
      </c>
      <c r="AL10" s="7" t="s">
        <v>47</v>
      </c>
      <c r="AM10" s="7" t="s">
        <v>48</v>
      </c>
      <c r="AN10" s="7" t="s">
        <v>50</v>
      </c>
      <c r="AO10" s="7" t="s">
        <v>198</v>
      </c>
      <c r="AP10" s="7" t="s">
        <v>50</v>
      </c>
      <c r="AQ10" s="7" t="s">
        <v>89</v>
      </c>
      <c r="AR10" s="7" t="s">
        <v>47</v>
      </c>
      <c r="AS10" s="7" t="s">
        <v>47</v>
      </c>
      <c r="AT10" s="7" t="s">
        <v>47</v>
      </c>
      <c r="AU10" s="7" t="s">
        <v>47</v>
      </c>
      <c r="AV10" s="7" t="s">
        <v>47</v>
      </c>
      <c r="AW10" s="7" t="s">
        <v>50</v>
      </c>
      <c r="AX10" s="7">
        <f>MEDIAN(14, MEDIAN(1,2), MEDIAN(3, 5))</f>
        <v>4</v>
      </c>
      <c r="AY10" s="7">
        <f>MEDIAN(24.5, MEDIAN(200, 300), 20)</f>
        <v>24.5</v>
      </c>
      <c r="AZ10" s="7">
        <f>MEDIAN(MEDIAN(200, 250), 24.5, 20)</f>
        <v>24.5</v>
      </c>
      <c r="BA10" s="7" t="s">
        <v>50</v>
      </c>
      <c r="BB10" s="7" t="s">
        <v>50</v>
      </c>
      <c r="BC10" s="7" t="s">
        <v>50</v>
      </c>
      <c r="BD10" s="7" t="s">
        <v>47</v>
      </c>
      <c r="BE10" s="7" t="s">
        <v>50</v>
      </c>
      <c r="BF10" s="7"/>
      <c r="BG10" s="7" t="s">
        <v>50</v>
      </c>
      <c r="BH10" s="7" t="s">
        <v>47</v>
      </c>
      <c r="BI10" s="7" t="s">
        <v>47</v>
      </c>
      <c r="BJ10" s="7" t="s">
        <v>50</v>
      </c>
      <c r="BK10" s="7" t="s">
        <v>47</v>
      </c>
      <c r="BL10" s="7"/>
      <c r="BM10" s="7" t="s">
        <v>50</v>
      </c>
      <c r="BN10" s="7" t="s">
        <v>50</v>
      </c>
      <c r="BO10" s="7" t="s">
        <v>50</v>
      </c>
      <c r="BP10" s="7" t="s">
        <v>50</v>
      </c>
      <c r="BQ10" s="7" t="s">
        <v>47</v>
      </c>
      <c r="BR10" s="7"/>
      <c r="BS10" s="7" t="s">
        <v>50</v>
      </c>
      <c r="BT10" s="7" t="s">
        <v>50</v>
      </c>
      <c r="BU10" s="7" t="s">
        <v>50</v>
      </c>
      <c r="BV10" s="7" t="s">
        <v>47</v>
      </c>
      <c r="BW10" s="7" t="s">
        <v>50</v>
      </c>
      <c r="BX10" s="7" t="s">
        <v>50</v>
      </c>
      <c r="BY10" s="7"/>
      <c r="BZ10" s="7" t="s">
        <v>50</v>
      </c>
      <c r="CA10" s="7" t="s">
        <v>50</v>
      </c>
      <c r="CB10" s="7" t="s">
        <v>50</v>
      </c>
      <c r="CC10" s="7" t="s">
        <v>47</v>
      </c>
      <c r="CD10" s="7">
        <f>MEDIAN(5, 5, 1)</f>
        <v>5</v>
      </c>
      <c r="CE10" s="7">
        <f>MEDIAN(70, 19.25, 10)</f>
        <v>19.25</v>
      </c>
    </row>
    <row r="11" spans="1:83" ht="12.75" customHeight="1" x14ac:dyDescent="0.35">
      <c r="A11" s="7" t="s">
        <v>90</v>
      </c>
      <c r="B11" s="7" t="s">
        <v>91</v>
      </c>
      <c r="C11" s="7" t="s">
        <v>44</v>
      </c>
      <c r="D11" s="7" t="s">
        <v>45</v>
      </c>
      <c r="E11" s="7" t="s">
        <v>73</v>
      </c>
      <c r="F11" s="7" t="s">
        <v>50</v>
      </c>
      <c r="G11" s="7" t="s">
        <v>50</v>
      </c>
      <c r="H11" s="7" t="s">
        <v>50</v>
      </c>
      <c r="I11" s="7"/>
      <c r="J11" s="7" t="s">
        <v>50</v>
      </c>
      <c r="K11" s="7" t="s">
        <v>50</v>
      </c>
      <c r="L11" s="7" t="s">
        <v>50</v>
      </c>
      <c r="M11" s="7" t="s">
        <v>50</v>
      </c>
      <c r="N11" s="7" t="s">
        <v>47</v>
      </c>
      <c r="O11" s="7" t="s">
        <v>47</v>
      </c>
      <c r="P11" s="7" t="s">
        <v>47</v>
      </c>
      <c r="Q11" s="7" t="s">
        <v>47</v>
      </c>
      <c r="R11" s="7" t="s">
        <v>47</v>
      </c>
      <c r="S11" s="7" t="s">
        <v>50</v>
      </c>
      <c r="T11" s="9" t="s">
        <v>47</v>
      </c>
      <c r="U11" s="7" t="s">
        <v>50</v>
      </c>
      <c r="V11" s="7" t="s">
        <v>55</v>
      </c>
      <c r="W11" s="7" t="s">
        <v>48</v>
      </c>
      <c r="X11" s="7" t="s">
        <v>47</v>
      </c>
      <c r="Y11" s="7" t="s">
        <v>50</v>
      </c>
      <c r="Z11" s="7" t="s">
        <v>50</v>
      </c>
      <c r="AA11" s="8">
        <v>0.75</v>
      </c>
      <c r="AB11" s="7" t="s">
        <v>50</v>
      </c>
      <c r="AC11" s="8">
        <v>0.4</v>
      </c>
      <c r="AD11" s="7" t="s">
        <v>50</v>
      </c>
      <c r="AE11" s="7" t="s">
        <v>92</v>
      </c>
      <c r="AF11" s="7" t="s">
        <v>47</v>
      </c>
      <c r="AG11" s="7" t="s">
        <v>48</v>
      </c>
      <c r="AH11" s="7" t="s">
        <v>47</v>
      </c>
      <c r="AI11" s="7" t="s">
        <v>48</v>
      </c>
      <c r="AJ11" s="7" t="s">
        <v>47</v>
      </c>
      <c r="AK11" s="7" t="s">
        <v>48</v>
      </c>
      <c r="AL11" s="7" t="s">
        <v>47</v>
      </c>
      <c r="AM11" s="7" t="s">
        <v>48</v>
      </c>
      <c r="AN11" s="7" t="s">
        <v>50</v>
      </c>
      <c r="AO11" s="7" t="s">
        <v>199</v>
      </c>
      <c r="AP11" s="7" t="s">
        <v>50</v>
      </c>
      <c r="AQ11" s="10" t="s">
        <v>93</v>
      </c>
      <c r="AR11" s="7" t="s">
        <v>47</v>
      </c>
      <c r="AS11" s="7" t="s">
        <v>47</v>
      </c>
      <c r="AT11" s="7" t="s">
        <v>47</v>
      </c>
      <c r="AU11" s="7" t="s">
        <v>47</v>
      </c>
      <c r="AV11" s="7" t="s">
        <v>47</v>
      </c>
      <c r="AW11" s="7" t="s">
        <v>50</v>
      </c>
      <c r="AX11" s="7">
        <f>MEDIAN(30, MEDIAN(1,2), 3)</f>
        <v>3</v>
      </c>
      <c r="AY11" s="7">
        <f>MEDIAN(10, 20, 0)</f>
        <v>10</v>
      </c>
      <c r="AZ11" s="7">
        <f>MEDIAN(15, 50, 40)</f>
        <v>40</v>
      </c>
      <c r="BA11" s="7" t="s">
        <v>47</v>
      </c>
      <c r="BB11" s="9" t="s">
        <v>50</v>
      </c>
      <c r="BC11" s="9" t="s">
        <v>50</v>
      </c>
      <c r="BD11" s="9" t="s">
        <v>50</v>
      </c>
      <c r="BE11" s="9" t="s">
        <v>50</v>
      </c>
      <c r="BF11" s="7"/>
      <c r="BG11" s="7" t="s">
        <v>50</v>
      </c>
      <c r="BH11" s="7" t="s">
        <v>47</v>
      </c>
      <c r="BI11" s="7" t="s">
        <v>47</v>
      </c>
      <c r="BJ11" s="7" t="s">
        <v>47</v>
      </c>
      <c r="BK11" s="7" t="s">
        <v>47</v>
      </c>
      <c r="BL11" s="7"/>
      <c r="BM11" s="7" t="s">
        <v>50</v>
      </c>
      <c r="BN11" s="7" t="s">
        <v>50</v>
      </c>
      <c r="BO11" s="7" t="s">
        <v>50</v>
      </c>
      <c r="BP11" s="7" t="s">
        <v>50</v>
      </c>
      <c r="BQ11" s="7" t="s">
        <v>47</v>
      </c>
      <c r="BR11" s="7"/>
      <c r="BS11" s="7" t="s">
        <v>50</v>
      </c>
      <c r="BT11" s="7" t="s">
        <v>47</v>
      </c>
      <c r="BU11" s="7" t="s">
        <v>47</v>
      </c>
      <c r="BV11" s="7" t="s">
        <v>47</v>
      </c>
      <c r="BW11" s="7" t="s">
        <v>50</v>
      </c>
      <c r="BX11" s="7" t="s">
        <v>50</v>
      </c>
      <c r="BY11" s="7"/>
      <c r="BZ11" s="7" t="s">
        <v>50</v>
      </c>
      <c r="CA11" s="7" t="s">
        <v>47</v>
      </c>
      <c r="CB11" s="7" t="s">
        <v>50</v>
      </c>
      <c r="CC11" s="7" t="s">
        <v>47</v>
      </c>
      <c r="CD11" s="7">
        <f>MEDIAN(0, 1, 1)</f>
        <v>1</v>
      </c>
      <c r="CE11" s="7">
        <f>MEDIAN(10, 10, 10)</f>
        <v>10</v>
      </c>
    </row>
    <row r="12" spans="1:83" ht="12.75" customHeight="1" x14ac:dyDescent="0.35">
      <c r="A12" s="7" t="s">
        <v>94</v>
      </c>
      <c r="B12" s="7" t="s">
        <v>95</v>
      </c>
      <c r="C12" s="7" t="s">
        <v>62</v>
      </c>
      <c r="D12" s="7" t="s">
        <v>63</v>
      </c>
      <c r="E12" s="7" t="s">
        <v>46</v>
      </c>
      <c r="F12" s="7" t="s">
        <v>50</v>
      </c>
      <c r="G12" s="7" t="s">
        <v>50</v>
      </c>
      <c r="H12" s="7" t="s">
        <v>50</v>
      </c>
      <c r="I12" s="7"/>
      <c r="J12" s="7" t="s">
        <v>47</v>
      </c>
      <c r="K12" s="7" t="s">
        <v>50</v>
      </c>
      <c r="L12" s="7" t="s">
        <v>47</v>
      </c>
      <c r="M12" s="7" t="s">
        <v>47</v>
      </c>
      <c r="N12" s="7" t="s">
        <v>50</v>
      </c>
      <c r="O12" s="7" t="s">
        <v>47</v>
      </c>
      <c r="P12" s="7" t="s">
        <v>47</v>
      </c>
      <c r="Q12" s="7" t="s">
        <v>47</v>
      </c>
      <c r="R12" s="7" t="s">
        <v>47</v>
      </c>
      <c r="S12" s="7" t="s">
        <v>47</v>
      </c>
      <c r="T12" s="7" t="s">
        <v>47</v>
      </c>
      <c r="U12" s="7" t="s">
        <v>47</v>
      </c>
      <c r="V12" s="7" t="s">
        <v>77</v>
      </c>
      <c r="W12" s="7" t="s">
        <v>149</v>
      </c>
      <c r="X12" s="7" t="s">
        <v>47</v>
      </c>
      <c r="Y12" s="7" t="s">
        <v>50</v>
      </c>
      <c r="Z12" s="7" t="s">
        <v>50</v>
      </c>
      <c r="AA12" s="7" t="s">
        <v>96</v>
      </c>
      <c r="AB12" s="7" t="s">
        <v>50</v>
      </c>
      <c r="AC12" s="7" t="s">
        <v>152</v>
      </c>
      <c r="AD12" s="7" t="s">
        <v>50</v>
      </c>
      <c r="AE12" s="8">
        <v>1</v>
      </c>
      <c r="AF12" s="7" t="s">
        <v>47</v>
      </c>
      <c r="AG12" s="7" t="s">
        <v>48</v>
      </c>
      <c r="AH12" s="7" t="s">
        <v>47</v>
      </c>
      <c r="AI12" s="7" t="s">
        <v>48</v>
      </c>
      <c r="AJ12" s="7" t="s">
        <v>47</v>
      </c>
      <c r="AK12" s="7" t="s">
        <v>48</v>
      </c>
      <c r="AL12" s="7" t="s">
        <v>47</v>
      </c>
      <c r="AM12" s="7" t="s">
        <v>48</v>
      </c>
      <c r="AN12" s="7" t="s">
        <v>50</v>
      </c>
      <c r="AO12" s="7" t="s">
        <v>97</v>
      </c>
      <c r="AP12" s="7" t="s">
        <v>50</v>
      </c>
      <c r="AQ12" s="10" t="s">
        <v>98</v>
      </c>
      <c r="AR12" s="7" t="s">
        <v>50</v>
      </c>
      <c r="AS12" s="7" t="s">
        <v>50</v>
      </c>
      <c r="AT12" s="7" t="s">
        <v>50</v>
      </c>
      <c r="AU12" s="7" t="s">
        <v>47</v>
      </c>
      <c r="AV12" s="7" t="s">
        <v>47</v>
      </c>
      <c r="AW12" s="7" t="s">
        <v>50</v>
      </c>
      <c r="AX12" s="7">
        <f>MEDIAN(7, 3, MEDIAN(2,4))</f>
        <v>3</v>
      </c>
      <c r="AY12" s="7">
        <f>MEDIAN(150, 100, 170, 100)</f>
        <v>125</v>
      </c>
      <c r="AZ12" s="7">
        <f>MEDIAN(100, 50, 100, 100)</f>
        <v>100</v>
      </c>
      <c r="BA12" s="7" t="s">
        <v>47</v>
      </c>
      <c r="BB12" s="7" t="s">
        <v>47</v>
      </c>
      <c r="BC12" s="7" t="s">
        <v>47</v>
      </c>
      <c r="BD12" s="7" t="s">
        <v>47</v>
      </c>
      <c r="BE12" s="7" t="s">
        <v>47</v>
      </c>
      <c r="BF12" s="7"/>
      <c r="BG12" s="7" t="s">
        <v>47</v>
      </c>
      <c r="BH12" s="7" t="s">
        <v>47</v>
      </c>
      <c r="BI12" s="7" t="s">
        <v>47</v>
      </c>
      <c r="BJ12" s="7" t="s">
        <v>47</v>
      </c>
      <c r="BK12" s="7" t="s">
        <v>47</v>
      </c>
      <c r="BL12" s="7"/>
      <c r="BM12" s="7" t="s">
        <v>47</v>
      </c>
      <c r="BN12" s="7" t="s">
        <v>47</v>
      </c>
      <c r="BO12" s="7" t="s">
        <v>47</v>
      </c>
      <c r="BP12" s="7" t="s">
        <v>47</v>
      </c>
      <c r="BQ12" s="7" t="s">
        <v>47</v>
      </c>
      <c r="BR12" s="7"/>
      <c r="BS12" s="7" t="s">
        <v>47</v>
      </c>
      <c r="BT12" s="7" t="s">
        <v>47</v>
      </c>
      <c r="BU12" s="7" t="s">
        <v>47</v>
      </c>
      <c r="BV12" s="7" t="s">
        <v>47</v>
      </c>
      <c r="BW12" s="7" t="s">
        <v>50</v>
      </c>
      <c r="BX12" s="7" t="s">
        <v>50</v>
      </c>
      <c r="BY12" s="7"/>
      <c r="BZ12" s="7" t="s">
        <v>47</v>
      </c>
      <c r="CA12" s="7" t="s">
        <v>47</v>
      </c>
      <c r="CB12" s="7" t="s">
        <v>47</v>
      </c>
      <c r="CC12" s="7" t="s">
        <v>50</v>
      </c>
      <c r="CD12" s="7">
        <f>MEDIAN(1, 1, (MEDIAN(2,4)))</f>
        <v>1</v>
      </c>
      <c r="CE12" s="7">
        <f>MEDIAN(15, 20, 50)</f>
        <v>20</v>
      </c>
    </row>
    <row r="13" spans="1:83" ht="12.75" customHeight="1" x14ac:dyDescent="0.35">
      <c r="A13" s="7" t="s">
        <v>99</v>
      </c>
      <c r="B13" s="7" t="s">
        <v>100</v>
      </c>
      <c r="C13" s="7" t="s">
        <v>83</v>
      </c>
      <c r="D13" s="7" t="s">
        <v>84</v>
      </c>
      <c r="E13" s="7" t="s">
        <v>76</v>
      </c>
      <c r="F13" s="7" t="s">
        <v>50</v>
      </c>
      <c r="G13" s="7" t="s">
        <v>50</v>
      </c>
      <c r="H13" s="7" t="s">
        <v>50</v>
      </c>
      <c r="I13" s="7"/>
      <c r="J13" s="7" t="s">
        <v>50</v>
      </c>
      <c r="K13" s="7" t="s">
        <v>50</v>
      </c>
      <c r="L13" s="7" t="s">
        <v>50</v>
      </c>
      <c r="M13" s="7" t="s">
        <v>50</v>
      </c>
      <c r="N13" s="7" t="s">
        <v>50</v>
      </c>
      <c r="O13" s="7" t="s">
        <v>47</v>
      </c>
      <c r="P13" s="7" t="s">
        <v>47</v>
      </c>
      <c r="Q13" s="7" t="s">
        <v>47</v>
      </c>
      <c r="R13" s="7" t="s">
        <v>47</v>
      </c>
      <c r="S13" s="7" t="s">
        <v>50</v>
      </c>
      <c r="T13" s="7" t="s">
        <v>50</v>
      </c>
      <c r="U13" s="7" t="s">
        <v>50</v>
      </c>
      <c r="V13" s="7" t="s">
        <v>77</v>
      </c>
      <c r="W13" s="7" t="s">
        <v>150</v>
      </c>
      <c r="X13" s="7" t="s">
        <v>50</v>
      </c>
      <c r="Y13" s="7" t="s">
        <v>47</v>
      </c>
      <c r="Z13" s="7" t="s">
        <v>47</v>
      </c>
      <c r="AA13" s="7" t="s">
        <v>48</v>
      </c>
      <c r="AB13" s="7" t="s">
        <v>47</v>
      </c>
      <c r="AC13" s="7" t="s">
        <v>48</v>
      </c>
      <c r="AD13" s="7" t="s">
        <v>47</v>
      </c>
      <c r="AE13" s="7" t="s">
        <v>48</v>
      </c>
      <c r="AF13" s="7" t="s">
        <v>47</v>
      </c>
      <c r="AG13" s="7" t="s">
        <v>48</v>
      </c>
      <c r="AH13" s="7" t="s">
        <v>47</v>
      </c>
      <c r="AI13" s="7" t="s">
        <v>48</v>
      </c>
      <c r="AJ13" s="7" t="s">
        <v>47</v>
      </c>
      <c r="AK13" s="7" t="s">
        <v>48</v>
      </c>
      <c r="AL13" s="7" t="s">
        <v>47</v>
      </c>
      <c r="AM13" s="7" t="s">
        <v>48</v>
      </c>
      <c r="AN13" s="7" t="s">
        <v>47</v>
      </c>
      <c r="AO13" s="7" t="s">
        <v>48</v>
      </c>
      <c r="AP13" s="7" t="s">
        <v>47</v>
      </c>
      <c r="AQ13" s="7" t="s">
        <v>48</v>
      </c>
      <c r="AR13" s="7" t="s">
        <v>50</v>
      </c>
      <c r="AS13" s="7" t="s">
        <v>50</v>
      </c>
      <c r="AT13" s="7" t="s">
        <v>50</v>
      </c>
      <c r="AU13" s="7" t="s">
        <v>50</v>
      </c>
      <c r="AV13" s="7" t="s">
        <v>50</v>
      </c>
      <c r="AW13" s="7" t="s">
        <v>50</v>
      </c>
      <c r="AX13" s="7">
        <f>MEDIAN(0,7)</f>
        <v>3.5</v>
      </c>
      <c r="AY13" s="7">
        <f>MEDIAN(0,0,0)</f>
        <v>0</v>
      </c>
      <c r="AZ13" s="7">
        <f>MEDIAN(50, 49.1, 31.24 )</f>
        <v>49.1</v>
      </c>
      <c r="BA13" s="7" t="s">
        <v>50</v>
      </c>
      <c r="BB13" s="7" t="s">
        <v>50</v>
      </c>
      <c r="BC13" s="7" t="s">
        <v>50</v>
      </c>
      <c r="BD13" s="7" t="s">
        <v>47</v>
      </c>
      <c r="BE13" s="7" t="s">
        <v>47</v>
      </c>
      <c r="BF13" s="7"/>
      <c r="BG13" s="7" t="s">
        <v>50</v>
      </c>
      <c r="BH13" s="7" t="s">
        <v>50</v>
      </c>
      <c r="BI13" s="7" t="s">
        <v>50</v>
      </c>
      <c r="BJ13" s="7" t="s">
        <v>47</v>
      </c>
      <c r="BK13" s="7" t="s">
        <v>47</v>
      </c>
      <c r="BL13" s="7"/>
      <c r="BM13" s="7" t="s">
        <v>47</v>
      </c>
      <c r="BN13" s="7" t="s">
        <v>50</v>
      </c>
      <c r="BO13" s="7" t="s">
        <v>50</v>
      </c>
      <c r="BP13" s="7" t="s">
        <v>50</v>
      </c>
      <c r="BQ13" s="7" t="s">
        <v>47</v>
      </c>
      <c r="BR13" s="7"/>
      <c r="BS13" s="7" t="s">
        <v>50</v>
      </c>
      <c r="BT13" s="7" t="s">
        <v>50</v>
      </c>
      <c r="BU13" s="7" t="s">
        <v>47</v>
      </c>
      <c r="BV13" s="7" t="s">
        <v>50</v>
      </c>
      <c r="BW13" s="7" t="s">
        <v>50</v>
      </c>
      <c r="BX13" s="7" t="s">
        <v>50</v>
      </c>
      <c r="BY13" s="7"/>
      <c r="BZ13" s="7" t="s">
        <v>50</v>
      </c>
      <c r="CA13" s="7" t="s">
        <v>50</v>
      </c>
      <c r="CB13" s="7" t="s">
        <v>50</v>
      </c>
      <c r="CC13" s="7" t="s">
        <v>50</v>
      </c>
      <c r="CD13" s="7">
        <f>MEDIAN(0,MEDIAN(0,7), 2)</f>
        <v>2</v>
      </c>
      <c r="CE13" s="7">
        <f>MEDIAN(20, 65, 49.99)</f>
        <v>49.99</v>
      </c>
    </row>
    <row r="14" spans="1:83" ht="12.75" customHeight="1" x14ac:dyDescent="0.35">
      <c r="A14" s="7" t="s">
        <v>101</v>
      </c>
      <c r="B14" s="7" t="s">
        <v>102</v>
      </c>
      <c r="C14" s="7" t="s">
        <v>44</v>
      </c>
      <c r="D14" s="7" t="s">
        <v>45</v>
      </c>
      <c r="E14" s="7" t="s">
        <v>46</v>
      </c>
      <c r="F14" s="7" t="s">
        <v>50</v>
      </c>
      <c r="G14" s="7" t="s">
        <v>50</v>
      </c>
      <c r="H14" s="7" t="s">
        <v>50</v>
      </c>
      <c r="I14" s="7"/>
      <c r="J14" s="7" t="s">
        <v>50</v>
      </c>
      <c r="K14" s="7" t="s">
        <v>50</v>
      </c>
      <c r="L14" s="7" t="s">
        <v>50</v>
      </c>
      <c r="M14" s="7" t="s">
        <v>50</v>
      </c>
      <c r="N14" s="7" t="s">
        <v>47</v>
      </c>
      <c r="O14" s="7" t="s">
        <v>47</v>
      </c>
      <c r="P14" s="7" t="s">
        <v>47</v>
      </c>
      <c r="Q14" s="7" t="s">
        <v>47</v>
      </c>
      <c r="R14" s="7" t="s">
        <v>47</v>
      </c>
      <c r="S14" s="7" t="s">
        <v>50</v>
      </c>
      <c r="T14" s="7" t="s">
        <v>47</v>
      </c>
      <c r="U14" s="7" t="s">
        <v>47</v>
      </c>
      <c r="V14" s="7" t="s">
        <v>103</v>
      </c>
      <c r="W14" s="7" t="s">
        <v>48</v>
      </c>
      <c r="X14" s="7" t="s">
        <v>47</v>
      </c>
      <c r="Y14" s="7" t="s">
        <v>50</v>
      </c>
      <c r="Z14" s="7" t="s">
        <v>50</v>
      </c>
      <c r="AA14" s="8">
        <v>0.6</v>
      </c>
      <c r="AB14" s="7" t="s">
        <v>47</v>
      </c>
      <c r="AC14" s="7" t="s">
        <v>48</v>
      </c>
      <c r="AD14" s="7" t="s">
        <v>47</v>
      </c>
      <c r="AE14" s="7" t="s">
        <v>48</v>
      </c>
      <c r="AF14" s="7" t="s">
        <v>47</v>
      </c>
      <c r="AG14" s="7" t="s">
        <v>48</v>
      </c>
      <c r="AH14" s="7" t="s">
        <v>47</v>
      </c>
      <c r="AI14" s="7" t="s">
        <v>48</v>
      </c>
      <c r="AJ14" s="7" t="s">
        <v>47</v>
      </c>
      <c r="AK14" s="7" t="s">
        <v>48</v>
      </c>
      <c r="AL14" s="7" t="s">
        <v>47</v>
      </c>
      <c r="AM14" s="7" t="s">
        <v>48</v>
      </c>
      <c r="AN14" s="7" t="s">
        <v>50</v>
      </c>
      <c r="AO14" s="7" t="s">
        <v>104</v>
      </c>
      <c r="AP14" s="7" t="s">
        <v>50</v>
      </c>
      <c r="AQ14" s="10" t="s">
        <v>105</v>
      </c>
      <c r="AR14" s="7" t="s">
        <v>47</v>
      </c>
      <c r="AS14" s="7" t="s">
        <v>47</v>
      </c>
      <c r="AT14" s="7" t="s">
        <v>47</v>
      </c>
      <c r="AU14" s="7" t="s">
        <v>47</v>
      </c>
      <c r="AV14" s="7" t="s">
        <v>47</v>
      </c>
      <c r="AW14" s="7" t="s">
        <v>50</v>
      </c>
      <c r="AX14" s="7">
        <f>MEDIAN(1, MEDIAN(1,14))</f>
        <v>4.25</v>
      </c>
      <c r="AY14" s="7">
        <f>MEDIAN(110, 150, 0)</f>
        <v>110</v>
      </c>
      <c r="AZ14" s="7">
        <f>MEDIAN(110, 150, 40.6)</f>
        <v>110</v>
      </c>
      <c r="BA14" s="7" t="s">
        <v>47</v>
      </c>
      <c r="BB14" s="7" t="s">
        <v>50</v>
      </c>
      <c r="BC14" s="7" t="s">
        <v>50</v>
      </c>
      <c r="BD14" s="7" t="s">
        <v>47</v>
      </c>
      <c r="BE14" s="7" t="s">
        <v>47</v>
      </c>
      <c r="BF14" s="7"/>
      <c r="BG14" s="7" t="s">
        <v>47</v>
      </c>
      <c r="BH14" s="7" t="s">
        <v>47</v>
      </c>
      <c r="BI14" s="7" t="s">
        <v>47</v>
      </c>
      <c r="BJ14" s="7" t="s">
        <v>47</v>
      </c>
      <c r="BK14" s="7" t="s">
        <v>47</v>
      </c>
      <c r="BL14" s="7"/>
      <c r="BM14" s="7" t="s">
        <v>47</v>
      </c>
      <c r="BN14" s="7" t="s">
        <v>50</v>
      </c>
      <c r="BO14" s="7" t="s">
        <v>47</v>
      </c>
      <c r="BP14" s="7" t="s">
        <v>50</v>
      </c>
      <c r="BQ14" s="7" t="s">
        <v>47</v>
      </c>
      <c r="BR14" s="7"/>
      <c r="BS14" s="7" t="s">
        <v>50</v>
      </c>
      <c r="BT14" s="7" t="s">
        <v>47</v>
      </c>
      <c r="BU14" s="7" t="s">
        <v>47</v>
      </c>
      <c r="BV14" s="7" t="s">
        <v>47</v>
      </c>
      <c r="BW14" s="7" t="s">
        <v>50</v>
      </c>
      <c r="BX14" s="7" t="s">
        <v>50</v>
      </c>
      <c r="BY14" s="7"/>
      <c r="BZ14" s="7" t="s">
        <v>47</v>
      </c>
      <c r="CA14" s="7" t="s">
        <v>47</v>
      </c>
      <c r="CB14" s="7" t="s">
        <v>47</v>
      </c>
      <c r="CC14" s="7" t="s">
        <v>50</v>
      </c>
      <c r="CD14" s="7">
        <f>MEDIAN(3, 0, 3)</f>
        <v>3</v>
      </c>
      <c r="CE14" s="7">
        <f>MEDIAN(50, 40, 56)</f>
        <v>50</v>
      </c>
    </row>
    <row r="15" spans="1:83" ht="12.75" customHeight="1" x14ac:dyDescent="0.35">
      <c r="A15" s="7" t="s">
        <v>106</v>
      </c>
      <c r="B15" s="7" t="s">
        <v>107</v>
      </c>
      <c r="C15" s="7" t="s">
        <v>108</v>
      </c>
      <c r="D15" s="7" t="s">
        <v>109</v>
      </c>
      <c r="E15" s="7" t="s">
        <v>73</v>
      </c>
      <c r="F15" s="7" t="s">
        <v>47</v>
      </c>
      <c r="G15" s="7" t="s">
        <v>47</v>
      </c>
      <c r="H15" s="7" t="s">
        <v>47</v>
      </c>
      <c r="I15" s="7"/>
      <c r="J15" s="7" t="s">
        <v>47</v>
      </c>
      <c r="K15" s="7" t="s">
        <v>47</v>
      </c>
      <c r="L15" s="7" t="s">
        <v>47</v>
      </c>
      <c r="M15" s="7" t="s">
        <v>47</v>
      </c>
      <c r="N15" s="7" t="s">
        <v>47</v>
      </c>
      <c r="O15" s="7" t="s">
        <v>47</v>
      </c>
      <c r="P15" s="7" t="s">
        <v>47</v>
      </c>
      <c r="Q15" s="7" t="s">
        <v>47</v>
      </c>
      <c r="R15" s="7" t="s">
        <v>47</v>
      </c>
      <c r="S15" s="7" t="s">
        <v>47</v>
      </c>
      <c r="T15" s="7" t="s">
        <v>47</v>
      </c>
      <c r="U15" s="7" t="s">
        <v>50</v>
      </c>
      <c r="V15" s="7" t="s">
        <v>110</v>
      </c>
      <c r="W15" s="7" t="s">
        <v>48</v>
      </c>
      <c r="X15" s="7" t="s">
        <v>47</v>
      </c>
      <c r="Y15" s="7" t="s">
        <v>47</v>
      </c>
      <c r="Z15" s="7" t="s">
        <v>47</v>
      </c>
      <c r="AA15" s="7" t="s">
        <v>48</v>
      </c>
      <c r="AB15" s="7" t="s">
        <v>47</v>
      </c>
      <c r="AC15" s="7" t="s">
        <v>48</v>
      </c>
      <c r="AD15" s="7" t="s">
        <v>47</v>
      </c>
      <c r="AE15" s="7" t="s">
        <v>48</v>
      </c>
      <c r="AF15" s="7" t="s">
        <v>47</v>
      </c>
      <c r="AG15" s="7" t="s">
        <v>48</v>
      </c>
      <c r="AH15" s="7" t="s">
        <v>47</v>
      </c>
      <c r="AI15" s="7" t="s">
        <v>48</v>
      </c>
      <c r="AJ15" s="7" t="s">
        <v>47</v>
      </c>
      <c r="AK15" s="7" t="s">
        <v>48</v>
      </c>
      <c r="AL15" s="7" t="s">
        <v>47</v>
      </c>
      <c r="AM15" s="7" t="s">
        <v>48</v>
      </c>
      <c r="AN15" s="7" t="s">
        <v>47</v>
      </c>
      <c r="AO15" s="7" t="s">
        <v>48</v>
      </c>
      <c r="AP15" s="7" t="s">
        <v>47</v>
      </c>
      <c r="AQ15" s="7" t="s">
        <v>48</v>
      </c>
      <c r="AR15" s="7" t="s">
        <v>47</v>
      </c>
      <c r="AS15" s="7" t="s">
        <v>47</v>
      </c>
      <c r="AT15" s="7" t="s">
        <v>47</v>
      </c>
      <c r="AU15" s="7" t="s">
        <v>47</v>
      </c>
      <c r="AV15" s="7" t="s">
        <v>47</v>
      </c>
      <c r="AW15" s="7" t="s">
        <v>50</v>
      </c>
      <c r="AX15" s="7">
        <f>MEDIAN(30, 0, MEDIAN(7,10))</f>
        <v>8.5</v>
      </c>
      <c r="AY15" s="7">
        <f>MEDIAN(50, 100)</f>
        <v>75</v>
      </c>
      <c r="AZ15" s="7">
        <f>MEDIAN(240, 50, 150)</f>
        <v>150</v>
      </c>
      <c r="BA15" s="7" t="s">
        <v>47</v>
      </c>
      <c r="BB15" s="7" t="s">
        <v>47</v>
      </c>
      <c r="BC15" s="7" t="s">
        <v>47</v>
      </c>
      <c r="BD15" s="7" t="s">
        <v>47</v>
      </c>
      <c r="BE15" s="7" t="s">
        <v>47</v>
      </c>
      <c r="BF15" s="7"/>
      <c r="BG15" s="7" t="s">
        <v>47</v>
      </c>
      <c r="BH15" s="7" t="s">
        <v>47</v>
      </c>
      <c r="BI15" s="7" t="s">
        <v>47</v>
      </c>
      <c r="BJ15" s="7" t="s">
        <v>47</v>
      </c>
      <c r="BK15" s="7" t="s">
        <v>47</v>
      </c>
      <c r="BL15" s="7"/>
      <c r="BM15" s="7" t="s">
        <v>50</v>
      </c>
      <c r="BN15" s="7" t="s">
        <v>50</v>
      </c>
      <c r="BO15" s="7" t="s">
        <v>50</v>
      </c>
      <c r="BP15" s="7" t="s">
        <v>50</v>
      </c>
      <c r="BQ15" s="7" t="s">
        <v>47</v>
      </c>
      <c r="BR15" s="7"/>
      <c r="BS15" s="7" t="s">
        <v>50</v>
      </c>
      <c r="BT15" s="7" t="s">
        <v>47</v>
      </c>
      <c r="BU15" s="7" t="s">
        <v>47</v>
      </c>
      <c r="BV15" s="7" t="s">
        <v>47</v>
      </c>
      <c r="BW15" s="7" t="s">
        <v>50</v>
      </c>
      <c r="BX15" s="7" t="s">
        <v>50</v>
      </c>
      <c r="BY15" s="7"/>
      <c r="BZ15" s="7" t="s">
        <v>47</v>
      </c>
      <c r="CA15" s="7" t="s">
        <v>47</v>
      </c>
      <c r="CB15" s="7" t="s">
        <v>47</v>
      </c>
      <c r="CC15" s="7" t="s">
        <v>50</v>
      </c>
      <c r="CD15" s="7">
        <f>MEDIAN(60, 60, 21)</f>
        <v>60</v>
      </c>
      <c r="CE15" s="7">
        <v>0</v>
      </c>
    </row>
    <row r="16" spans="1:83" ht="12.75" customHeight="1" x14ac:dyDescent="0.35">
      <c r="A16" s="7" t="s">
        <v>111</v>
      </c>
      <c r="B16" s="7" t="s">
        <v>112</v>
      </c>
      <c r="C16" s="7" t="s">
        <v>83</v>
      </c>
      <c r="D16" s="7" t="s">
        <v>84</v>
      </c>
      <c r="E16" s="7" t="s">
        <v>73</v>
      </c>
      <c r="F16" s="7" t="s">
        <v>50</v>
      </c>
      <c r="G16" s="7" t="s">
        <v>50</v>
      </c>
      <c r="H16" s="7" t="s">
        <v>50</v>
      </c>
      <c r="I16" s="7"/>
      <c r="J16" s="7" t="s">
        <v>50</v>
      </c>
      <c r="K16" s="7" t="s">
        <v>50</v>
      </c>
      <c r="L16" s="7" t="s">
        <v>50</v>
      </c>
      <c r="M16" s="7" t="s">
        <v>50</v>
      </c>
      <c r="N16" s="7" t="s">
        <v>50</v>
      </c>
      <c r="O16" s="7" t="s">
        <v>50</v>
      </c>
      <c r="P16" s="7" t="s">
        <v>47</v>
      </c>
      <c r="Q16" s="7" t="s">
        <v>50</v>
      </c>
      <c r="R16" s="7" t="s">
        <v>50</v>
      </c>
      <c r="S16" s="7" t="s">
        <v>47</v>
      </c>
      <c r="T16" s="7" t="s">
        <v>47</v>
      </c>
      <c r="U16" s="7" t="s">
        <v>50</v>
      </c>
      <c r="V16" s="7" t="s">
        <v>77</v>
      </c>
      <c r="W16" s="7" t="s">
        <v>113</v>
      </c>
      <c r="X16" s="7" t="s">
        <v>50</v>
      </c>
      <c r="Y16" s="7" t="s">
        <v>50</v>
      </c>
      <c r="Z16" s="7" t="s">
        <v>50</v>
      </c>
      <c r="AA16" s="8">
        <v>0.95</v>
      </c>
      <c r="AB16" s="7" t="s">
        <v>47</v>
      </c>
      <c r="AC16" s="7" t="s">
        <v>48</v>
      </c>
      <c r="AD16" s="7" t="s">
        <v>47</v>
      </c>
      <c r="AE16" s="7" t="s">
        <v>48</v>
      </c>
      <c r="AF16" s="7" t="s">
        <v>47</v>
      </c>
      <c r="AG16" s="7" t="s">
        <v>48</v>
      </c>
      <c r="AH16" s="7" t="s">
        <v>47</v>
      </c>
      <c r="AI16" s="7" t="s">
        <v>48</v>
      </c>
      <c r="AJ16" s="7" t="s">
        <v>47</v>
      </c>
      <c r="AK16" s="7" t="s">
        <v>48</v>
      </c>
      <c r="AL16" s="7" t="s">
        <v>47</v>
      </c>
      <c r="AM16" s="7" t="s">
        <v>48</v>
      </c>
      <c r="AN16" s="7" t="s">
        <v>47</v>
      </c>
      <c r="AO16" s="7" t="s">
        <v>48</v>
      </c>
      <c r="AP16" s="7" t="s">
        <v>47</v>
      </c>
      <c r="AQ16" s="7" t="s">
        <v>48</v>
      </c>
      <c r="AR16" s="7" t="s">
        <v>50</v>
      </c>
      <c r="AS16" s="7" t="s">
        <v>50</v>
      </c>
      <c r="AT16" s="7" t="s">
        <v>50</v>
      </c>
      <c r="AU16" s="7" t="s">
        <v>50</v>
      </c>
      <c r="AV16" s="7" t="s">
        <v>50</v>
      </c>
      <c r="AW16" s="7" t="s">
        <v>47</v>
      </c>
      <c r="AX16" s="7">
        <f>MEDIAN(7, 7, MEDIAN(3,7))</f>
        <v>7</v>
      </c>
      <c r="AY16" s="7">
        <f>MEDIAN(50, 0, 72.16)</f>
        <v>50</v>
      </c>
      <c r="AZ16" s="7">
        <f>MEDIAN(62, 35, 45.22)</f>
        <v>45.22</v>
      </c>
      <c r="BA16" s="7" t="s">
        <v>47</v>
      </c>
      <c r="BB16" s="7" t="s">
        <v>50</v>
      </c>
      <c r="BC16" s="7" t="s">
        <v>50</v>
      </c>
      <c r="BD16" s="7" t="s">
        <v>47</v>
      </c>
      <c r="BE16" s="7" t="s">
        <v>47</v>
      </c>
      <c r="BF16" s="7"/>
      <c r="BG16" s="7" t="s">
        <v>47</v>
      </c>
      <c r="BH16" s="7" t="s">
        <v>47</v>
      </c>
      <c r="BI16" s="7" t="s">
        <v>47</v>
      </c>
      <c r="BJ16" s="7" t="s">
        <v>50</v>
      </c>
      <c r="BK16" s="7" t="s">
        <v>47</v>
      </c>
      <c r="BL16" s="7"/>
      <c r="BM16" s="7" t="s">
        <v>47</v>
      </c>
      <c r="BN16" s="7" t="s">
        <v>50</v>
      </c>
      <c r="BO16" s="7" t="s">
        <v>47</v>
      </c>
      <c r="BP16" s="7" t="s">
        <v>50</v>
      </c>
      <c r="BQ16" s="7" t="s">
        <v>47</v>
      </c>
      <c r="BR16" s="7"/>
      <c r="BS16" s="7" t="s">
        <v>50</v>
      </c>
      <c r="BT16" s="7" t="s">
        <v>47</v>
      </c>
      <c r="BU16" s="7" t="s">
        <v>47</v>
      </c>
      <c r="BV16" s="7" t="s">
        <v>47</v>
      </c>
      <c r="BW16" s="7" t="s">
        <v>50</v>
      </c>
      <c r="BX16" s="7" t="s">
        <v>50</v>
      </c>
      <c r="BY16" s="7"/>
      <c r="BZ16" s="7" t="s">
        <v>50</v>
      </c>
      <c r="CA16" s="12" t="s">
        <v>50</v>
      </c>
      <c r="CB16" s="7" t="s">
        <v>47</v>
      </c>
      <c r="CC16" s="7" t="s">
        <v>50</v>
      </c>
      <c r="CD16" s="7">
        <f>MEDIAN(2, 30, 7)</f>
        <v>7</v>
      </c>
      <c r="CE16" s="7">
        <f>MEDIAN(20, 30, 28.86)</f>
        <v>28.86</v>
      </c>
    </row>
    <row r="17" spans="1:83" ht="12.75" customHeight="1" x14ac:dyDescent="0.35">
      <c r="A17" s="7" t="s">
        <v>114</v>
      </c>
      <c r="B17" s="7" t="s">
        <v>115</v>
      </c>
      <c r="C17" s="7" t="s">
        <v>71</v>
      </c>
      <c r="D17" s="7" t="s">
        <v>72</v>
      </c>
      <c r="E17" s="7" t="s">
        <v>73</v>
      </c>
      <c r="F17" s="7" t="s">
        <v>50</v>
      </c>
      <c r="G17" s="7" t="s">
        <v>50</v>
      </c>
      <c r="H17" s="7" t="s">
        <v>50</v>
      </c>
      <c r="I17" s="7"/>
      <c r="J17" s="7" t="s">
        <v>47</v>
      </c>
      <c r="K17" s="7" t="s">
        <v>50</v>
      </c>
      <c r="L17" s="7" t="s">
        <v>50</v>
      </c>
      <c r="M17" s="7" t="s">
        <v>50</v>
      </c>
      <c r="N17" s="7" t="s">
        <v>50</v>
      </c>
      <c r="O17" s="7" t="s">
        <v>47</v>
      </c>
      <c r="P17" s="7" t="s">
        <v>47</v>
      </c>
      <c r="Q17" s="7" t="s">
        <v>47</v>
      </c>
      <c r="R17" s="7" t="s">
        <v>47</v>
      </c>
      <c r="S17" s="7" t="s">
        <v>50</v>
      </c>
      <c r="T17" s="7" t="s">
        <v>50</v>
      </c>
      <c r="U17" s="7" t="s">
        <v>50</v>
      </c>
      <c r="V17" s="7" t="s">
        <v>49</v>
      </c>
      <c r="W17" s="7" t="s">
        <v>48</v>
      </c>
      <c r="X17" s="7" t="s">
        <v>50</v>
      </c>
      <c r="Y17" s="7" t="s">
        <v>50</v>
      </c>
      <c r="Z17" s="7" t="s">
        <v>50</v>
      </c>
      <c r="AA17" s="7" t="s">
        <v>116</v>
      </c>
      <c r="AB17" s="7" t="s">
        <v>50</v>
      </c>
      <c r="AC17" s="7" t="s">
        <v>117</v>
      </c>
      <c r="AD17" s="7" t="s">
        <v>50</v>
      </c>
      <c r="AE17" s="8">
        <v>1</v>
      </c>
      <c r="AF17" s="7" t="s">
        <v>50</v>
      </c>
      <c r="AG17" s="8">
        <v>0.8</v>
      </c>
      <c r="AH17" s="7" t="s">
        <v>47</v>
      </c>
      <c r="AI17" s="7" t="s">
        <v>48</v>
      </c>
      <c r="AJ17" s="7" t="s">
        <v>47</v>
      </c>
      <c r="AK17" s="7" t="s">
        <v>48</v>
      </c>
      <c r="AL17" s="7" t="s">
        <v>47</v>
      </c>
      <c r="AM17" s="7" t="s">
        <v>48</v>
      </c>
      <c r="AN17" s="7" t="s">
        <v>47</v>
      </c>
      <c r="AO17" s="7" t="s">
        <v>48</v>
      </c>
      <c r="AP17" s="7" t="s">
        <v>47</v>
      </c>
      <c r="AQ17" s="7" t="s">
        <v>48</v>
      </c>
      <c r="AR17" s="7" t="s">
        <v>47</v>
      </c>
      <c r="AS17" s="7" t="s">
        <v>47</v>
      </c>
      <c r="AT17" s="7" t="s">
        <v>47</v>
      </c>
      <c r="AU17" s="7" t="s">
        <v>47</v>
      </c>
      <c r="AV17" s="7" t="s">
        <v>50</v>
      </c>
      <c r="AW17" s="7" t="s">
        <v>50</v>
      </c>
      <c r="AX17" s="7">
        <f>MEDIAN(10, 7, 5)</f>
        <v>7</v>
      </c>
      <c r="AY17" s="7">
        <f>MEDIAN(20, 30, 30)</f>
        <v>30</v>
      </c>
      <c r="AZ17" s="7">
        <f>MEDIAN(100, 20, 30, 18)</f>
        <v>25</v>
      </c>
      <c r="BA17" s="7" t="s">
        <v>50</v>
      </c>
      <c r="BB17" s="7" t="s">
        <v>50</v>
      </c>
      <c r="BC17" s="7" t="s">
        <v>47</v>
      </c>
      <c r="BD17" s="7" t="s">
        <v>47</v>
      </c>
      <c r="BE17" s="7" t="s">
        <v>50</v>
      </c>
      <c r="BF17" s="7"/>
      <c r="BG17" s="7" t="s">
        <v>50</v>
      </c>
      <c r="BH17" s="7" t="s">
        <v>50</v>
      </c>
      <c r="BI17" s="7" t="s">
        <v>50</v>
      </c>
      <c r="BJ17" s="7" t="s">
        <v>50</v>
      </c>
      <c r="BK17" s="7" t="s">
        <v>47</v>
      </c>
      <c r="BL17" s="7"/>
      <c r="BM17" s="7" t="s">
        <v>47</v>
      </c>
      <c r="BN17" s="7" t="s">
        <v>50</v>
      </c>
      <c r="BO17" s="7" t="s">
        <v>50</v>
      </c>
      <c r="BP17" s="7" t="s">
        <v>50</v>
      </c>
      <c r="BQ17" s="7" t="s">
        <v>47</v>
      </c>
      <c r="BR17" s="7"/>
      <c r="BS17" s="7" t="s">
        <v>50</v>
      </c>
      <c r="BT17" s="7" t="s">
        <v>47</v>
      </c>
      <c r="BU17" s="7" t="s">
        <v>47</v>
      </c>
      <c r="BV17" s="7" t="s">
        <v>47</v>
      </c>
      <c r="BW17" s="7" t="s">
        <v>50</v>
      </c>
      <c r="BX17" s="7" t="s">
        <v>50</v>
      </c>
      <c r="BY17" s="7"/>
      <c r="BZ17" s="7" t="s">
        <v>47</v>
      </c>
      <c r="CA17" s="7" t="s">
        <v>47</v>
      </c>
      <c r="CB17" s="7" t="s">
        <v>47</v>
      </c>
      <c r="CC17" s="7" t="s">
        <v>50</v>
      </c>
      <c r="CD17" s="7">
        <f>MEDIAN(1, MEDIAN(1,3), 3)</f>
        <v>2</v>
      </c>
      <c r="CE17" s="7">
        <f>MEDIAN(30, 1, 10)</f>
        <v>10</v>
      </c>
    </row>
    <row r="18" spans="1:83" ht="12.75" customHeight="1" x14ac:dyDescent="0.35">
      <c r="A18" s="7" t="s">
        <v>118</v>
      </c>
      <c r="B18" s="7" t="s">
        <v>119</v>
      </c>
      <c r="C18" s="7" t="s">
        <v>44</v>
      </c>
      <c r="D18" s="7" t="s">
        <v>45</v>
      </c>
      <c r="E18" s="7" t="s">
        <v>46</v>
      </c>
      <c r="F18" s="7" t="s">
        <v>50</v>
      </c>
      <c r="G18" s="7" t="s">
        <v>47</v>
      </c>
      <c r="H18" s="7" t="s">
        <v>50</v>
      </c>
      <c r="I18" s="7"/>
      <c r="J18" s="7" t="s">
        <v>47</v>
      </c>
      <c r="K18" s="7" t="s">
        <v>50</v>
      </c>
      <c r="L18" s="7" t="s">
        <v>50</v>
      </c>
      <c r="M18" s="7" t="s">
        <v>50</v>
      </c>
      <c r="N18" s="7" t="s">
        <v>47</v>
      </c>
      <c r="O18" s="7" t="s">
        <v>47</v>
      </c>
      <c r="P18" s="7" t="s">
        <v>47</v>
      </c>
      <c r="Q18" s="7" t="s">
        <v>47</v>
      </c>
      <c r="R18" s="7" t="s">
        <v>47</v>
      </c>
      <c r="S18" s="7" t="s">
        <v>50</v>
      </c>
      <c r="T18" s="7" t="s">
        <v>47</v>
      </c>
      <c r="U18" s="7" t="s">
        <v>50</v>
      </c>
      <c r="V18" s="7" t="s">
        <v>49</v>
      </c>
      <c r="W18" s="7" t="s">
        <v>48</v>
      </c>
      <c r="X18" s="7" t="s">
        <v>50</v>
      </c>
      <c r="Y18" s="7" t="s">
        <v>50</v>
      </c>
      <c r="Z18" s="7" t="s">
        <v>50</v>
      </c>
      <c r="AA18" s="7" t="s">
        <v>120</v>
      </c>
      <c r="AB18" s="7" t="s">
        <v>47</v>
      </c>
      <c r="AC18" s="7" t="s">
        <v>48</v>
      </c>
      <c r="AD18" s="7" t="s">
        <v>47</v>
      </c>
      <c r="AE18" s="7" t="s">
        <v>48</v>
      </c>
      <c r="AF18" s="7" t="s">
        <v>50</v>
      </c>
      <c r="AG18" s="7" t="s">
        <v>121</v>
      </c>
      <c r="AH18" s="7" t="s">
        <v>50</v>
      </c>
      <c r="AI18" s="8">
        <v>0.85</v>
      </c>
      <c r="AJ18" s="7" t="s">
        <v>47</v>
      </c>
      <c r="AK18" s="7" t="s">
        <v>48</v>
      </c>
      <c r="AL18" s="7" t="s">
        <v>50</v>
      </c>
      <c r="AM18" s="8">
        <v>0.6</v>
      </c>
      <c r="AN18" s="7" t="s">
        <v>50</v>
      </c>
      <c r="AO18" s="7" t="s">
        <v>122</v>
      </c>
      <c r="AP18" s="7" t="s">
        <v>47</v>
      </c>
      <c r="AQ18" s="10" t="s">
        <v>48</v>
      </c>
      <c r="AR18" s="7" t="s">
        <v>47</v>
      </c>
      <c r="AS18" s="7" t="s">
        <v>47</v>
      </c>
      <c r="AT18" s="7" t="s">
        <v>47</v>
      </c>
      <c r="AU18" s="7" t="s">
        <v>47</v>
      </c>
      <c r="AV18" s="7" t="s">
        <v>50</v>
      </c>
      <c r="AW18" s="7" t="s">
        <v>50</v>
      </c>
      <c r="AX18" s="7">
        <f>MEDIAN(7, 3, 14)</f>
        <v>7</v>
      </c>
      <c r="AY18" s="7">
        <v>0</v>
      </c>
      <c r="AZ18" s="7">
        <f>MEDIAN(10, 10,17.63 )</f>
        <v>10</v>
      </c>
      <c r="BA18" s="7" t="s">
        <v>50</v>
      </c>
      <c r="BB18" s="7" t="s">
        <v>50</v>
      </c>
      <c r="BC18" s="7" t="s">
        <v>50</v>
      </c>
      <c r="BD18" s="7" t="s">
        <v>47</v>
      </c>
      <c r="BE18" s="7" t="s">
        <v>47</v>
      </c>
      <c r="BF18" s="7"/>
      <c r="BG18" s="7" t="s">
        <v>47</v>
      </c>
      <c r="BH18" s="7" t="s">
        <v>47</v>
      </c>
      <c r="BI18" s="7" t="s">
        <v>50</v>
      </c>
      <c r="BJ18" s="7" t="s">
        <v>47</v>
      </c>
      <c r="BK18" s="7" t="s">
        <v>47</v>
      </c>
      <c r="BL18" s="7"/>
      <c r="BM18" s="7" t="s">
        <v>47</v>
      </c>
      <c r="BN18" s="7" t="s">
        <v>50</v>
      </c>
      <c r="BO18" s="7" t="s">
        <v>50</v>
      </c>
      <c r="BP18" s="7" t="s">
        <v>50</v>
      </c>
      <c r="BQ18" s="7" t="s">
        <v>47</v>
      </c>
      <c r="BR18" s="7"/>
      <c r="BS18" s="7" t="s">
        <v>47</v>
      </c>
      <c r="BT18" s="7" t="s">
        <v>47</v>
      </c>
      <c r="BU18" s="7" t="s">
        <v>47</v>
      </c>
      <c r="BV18" s="7" t="s">
        <v>47</v>
      </c>
      <c r="BW18" s="7" t="s">
        <v>50</v>
      </c>
      <c r="BX18" s="7" t="s">
        <v>50</v>
      </c>
      <c r="BY18" s="7"/>
      <c r="BZ18" s="7" t="s">
        <v>50</v>
      </c>
      <c r="CA18" s="7" t="s">
        <v>47</v>
      </c>
      <c r="CB18" s="7" t="s">
        <v>50</v>
      </c>
      <c r="CC18" s="7" t="s">
        <v>47</v>
      </c>
      <c r="CD18" s="7">
        <f>MEDIAN(3, 0, 7)</f>
        <v>3</v>
      </c>
      <c r="CE18" s="7">
        <f>MEDIAN(30, 39, 40)</f>
        <v>39</v>
      </c>
    </row>
    <row r="19" spans="1:83" ht="12.75" customHeight="1" x14ac:dyDescent="0.35">
      <c r="A19" s="7" t="s">
        <v>123</v>
      </c>
      <c r="B19" s="7" t="s">
        <v>124</v>
      </c>
      <c r="C19" s="7" t="s">
        <v>53</v>
      </c>
      <c r="D19" s="7" t="s">
        <v>54</v>
      </c>
      <c r="E19" s="7" t="s">
        <v>46</v>
      </c>
      <c r="F19" s="7" t="s">
        <v>50</v>
      </c>
      <c r="G19" s="7" t="s">
        <v>47</v>
      </c>
      <c r="H19" s="7" t="s">
        <v>50</v>
      </c>
      <c r="I19" s="7"/>
      <c r="J19" s="7" t="s">
        <v>50</v>
      </c>
      <c r="K19" s="7" t="s">
        <v>50</v>
      </c>
      <c r="L19" s="7" t="s">
        <v>50</v>
      </c>
      <c r="M19" s="7" t="s">
        <v>50</v>
      </c>
      <c r="N19" s="7" t="s">
        <v>50</v>
      </c>
      <c r="O19" s="7" t="s">
        <v>50</v>
      </c>
      <c r="P19" s="7" t="s">
        <v>47</v>
      </c>
      <c r="Q19" s="7" t="s">
        <v>47</v>
      </c>
      <c r="R19" s="7" t="s">
        <v>50</v>
      </c>
      <c r="S19" s="7" t="s">
        <v>50</v>
      </c>
      <c r="T19" s="7" t="s">
        <v>47</v>
      </c>
      <c r="U19" s="7" t="s">
        <v>50</v>
      </c>
      <c r="V19" s="7" t="s">
        <v>49</v>
      </c>
      <c r="W19" s="7" t="s">
        <v>48</v>
      </c>
      <c r="X19" s="7" t="s">
        <v>50</v>
      </c>
      <c r="Y19" s="7" t="s">
        <v>50</v>
      </c>
      <c r="Z19" s="7" t="s">
        <v>47</v>
      </c>
      <c r="AA19" s="7" t="s">
        <v>48</v>
      </c>
      <c r="AB19" s="7" t="s">
        <v>47</v>
      </c>
      <c r="AC19" s="7" t="s">
        <v>48</v>
      </c>
      <c r="AD19" s="7" t="s">
        <v>47</v>
      </c>
      <c r="AE19" s="7" t="s">
        <v>48</v>
      </c>
      <c r="AF19" s="7" t="s">
        <v>47</v>
      </c>
      <c r="AG19" s="7" t="s">
        <v>48</v>
      </c>
      <c r="AH19" s="7" t="s">
        <v>47</v>
      </c>
      <c r="AI19" s="7" t="s">
        <v>48</v>
      </c>
      <c r="AJ19" s="7" t="s">
        <v>47</v>
      </c>
      <c r="AK19" s="7" t="s">
        <v>48</v>
      </c>
      <c r="AL19" s="7" t="s">
        <v>47</v>
      </c>
      <c r="AM19" s="7" t="s">
        <v>48</v>
      </c>
      <c r="AN19" s="7" t="s">
        <v>47</v>
      </c>
      <c r="AO19" s="7" t="s">
        <v>48</v>
      </c>
      <c r="AP19" s="7" t="s">
        <v>50</v>
      </c>
      <c r="AQ19" s="10" t="s">
        <v>125</v>
      </c>
      <c r="AR19" s="7" t="s">
        <v>47</v>
      </c>
      <c r="AS19" s="7" t="s">
        <v>47</v>
      </c>
      <c r="AT19" s="7" t="s">
        <v>47</v>
      </c>
      <c r="AU19" s="7" t="s">
        <v>47</v>
      </c>
      <c r="AV19" s="7" t="s">
        <v>50</v>
      </c>
      <c r="AW19" s="7" t="s">
        <v>47</v>
      </c>
      <c r="AX19" s="7">
        <f>MEDIAN(10, 2, 5)</f>
        <v>5</v>
      </c>
      <c r="AY19" s="7">
        <f>MEDIAN(MEDIAN(200, 500), 100, 20.26)</f>
        <v>100</v>
      </c>
      <c r="AZ19" s="7">
        <f>MEDIAN(500, 180, 25)</f>
        <v>180</v>
      </c>
      <c r="BA19" s="7" t="s">
        <v>47</v>
      </c>
      <c r="BB19" s="7" t="s">
        <v>50</v>
      </c>
      <c r="BC19" s="7" t="s">
        <v>50</v>
      </c>
      <c r="BD19" s="7" t="s">
        <v>47</v>
      </c>
      <c r="BE19" s="7" t="s">
        <v>50</v>
      </c>
      <c r="BF19" s="7"/>
      <c r="BG19" s="7" t="s">
        <v>50</v>
      </c>
      <c r="BH19" s="7" t="s">
        <v>50</v>
      </c>
      <c r="BI19" s="7" t="s">
        <v>50</v>
      </c>
      <c r="BJ19" s="7" t="s">
        <v>50</v>
      </c>
      <c r="BK19" s="7" t="s">
        <v>47</v>
      </c>
      <c r="BL19" s="7"/>
      <c r="BM19" s="7" t="s">
        <v>47</v>
      </c>
      <c r="BN19" s="7" t="s">
        <v>50</v>
      </c>
      <c r="BO19" s="7" t="s">
        <v>47</v>
      </c>
      <c r="BP19" s="7" t="s">
        <v>47</v>
      </c>
      <c r="BQ19" s="7" t="s">
        <v>47</v>
      </c>
      <c r="BR19" s="7"/>
      <c r="BS19" s="7" t="s">
        <v>50</v>
      </c>
      <c r="BT19" s="7" t="s">
        <v>50</v>
      </c>
      <c r="BU19" s="7" t="s">
        <v>50</v>
      </c>
      <c r="BV19" s="7" t="s">
        <v>50</v>
      </c>
      <c r="BW19" s="7" t="s">
        <v>50</v>
      </c>
      <c r="BX19" s="7" t="s">
        <v>50</v>
      </c>
      <c r="BY19" s="7"/>
      <c r="BZ19" s="7" t="s">
        <v>50</v>
      </c>
      <c r="CA19" s="7" t="s">
        <v>50</v>
      </c>
      <c r="CB19" s="7" t="s">
        <v>47</v>
      </c>
      <c r="CC19" s="7" t="s">
        <v>50</v>
      </c>
      <c r="CD19" s="7">
        <f>MEDIAN(MEDIAN(1,5), 0, 2)</f>
        <v>2</v>
      </c>
      <c r="CE19" s="7">
        <f>MEDIAN(50, 20, 48)</f>
        <v>48</v>
      </c>
    </row>
    <row r="20" spans="1:83" ht="12.75" customHeight="1" x14ac:dyDescent="0.35">
      <c r="A20" s="7" t="s">
        <v>126</v>
      </c>
      <c r="B20" s="7" t="s">
        <v>127</v>
      </c>
      <c r="C20" s="7" t="s">
        <v>62</v>
      </c>
      <c r="D20" s="7" t="s">
        <v>63</v>
      </c>
      <c r="E20" s="7" t="s">
        <v>64</v>
      </c>
      <c r="F20" s="7" t="s">
        <v>50</v>
      </c>
      <c r="G20" s="7" t="s">
        <v>50</v>
      </c>
      <c r="H20" s="7" t="s">
        <v>50</v>
      </c>
      <c r="I20" s="7"/>
      <c r="J20" s="7" t="s">
        <v>50</v>
      </c>
      <c r="K20" s="7" t="s">
        <v>47</v>
      </c>
      <c r="L20" s="7" t="s">
        <v>47</v>
      </c>
      <c r="M20" s="7" t="s">
        <v>47</v>
      </c>
      <c r="N20" s="7" t="s">
        <v>50</v>
      </c>
      <c r="O20" s="7" t="s">
        <v>47</v>
      </c>
      <c r="P20" s="7" t="s">
        <v>47</v>
      </c>
      <c r="Q20" s="7" t="s">
        <v>47</v>
      </c>
      <c r="R20" s="7" t="s">
        <v>47</v>
      </c>
      <c r="S20" s="7" t="s">
        <v>47</v>
      </c>
      <c r="T20" s="7" t="s">
        <v>47</v>
      </c>
      <c r="U20" s="7" t="s">
        <v>50</v>
      </c>
      <c r="V20" s="7" t="s">
        <v>49</v>
      </c>
      <c r="W20" s="7" t="s">
        <v>48</v>
      </c>
      <c r="X20" s="7" t="s">
        <v>50</v>
      </c>
      <c r="Y20" s="7" t="s">
        <v>50</v>
      </c>
      <c r="Z20" s="7" t="s">
        <v>50</v>
      </c>
      <c r="AA20" s="7" t="s">
        <v>128</v>
      </c>
      <c r="AB20" s="7" t="s">
        <v>50</v>
      </c>
      <c r="AC20" s="7" t="s">
        <v>129</v>
      </c>
      <c r="AD20" s="7" t="s">
        <v>50</v>
      </c>
      <c r="AE20" s="7" t="s">
        <v>130</v>
      </c>
      <c r="AF20" s="7" t="s">
        <v>50</v>
      </c>
      <c r="AG20" s="7" t="s">
        <v>131</v>
      </c>
      <c r="AH20" s="7" t="s">
        <v>50</v>
      </c>
      <c r="AI20" s="8">
        <v>0.9</v>
      </c>
      <c r="AJ20" s="7" t="s">
        <v>50</v>
      </c>
      <c r="AK20" s="7" t="s">
        <v>132</v>
      </c>
      <c r="AL20" s="7" t="s">
        <v>50</v>
      </c>
      <c r="AM20" s="7" t="s">
        <v>48</v>
      </c>
      <c r="AN20" s="7" t="s">
        <v>50</v>
      </c>
      <c r="AO20" s="7" t="s">
        <v>133</v>
      </c>
      <c r="AP20" s="7" t="s">
        <v>47</v>
      </c>
      <c r="AQ20" s="10" t="s">
        <v>48</v>
      </c>
      <c r="AR20" s="7" t="s">
        <v>50</v>
      </c>
      <c r="AS20" s="7" t="s">
        <v>50</v>
      </c>
      <c r="AT20" s="7" t="s">
        <v>47</v>
      </c>
      <c r="AU20" s="7" t="s">
        <v>50</v>
      </c>
      <c r="AV20" s="7" t="s">
        <v>47</v>
      </c>
      <c r="AW20" s="7" t="s">
        <v>47</v>
      </c>
      <c r="AX20" s="7">
        <f>MEDIAN(MEDIAN(1, 6), MEDIAN(15,30))</f>
        <v>13</v>
      </c>
      <c r="AY20" s="7">
        <f>MEDIAN(62, 770, 10000, 70)</f>
        <v>420</v>
      </c>
      <c r="AZ20" s="7">
        <f>MEDIAN(33, 100, 2338, 100, 10000)</f>
        <v>100</v>
      </c>
      <c r="BA20" s="7" t="s">
        <v>50</v>
      </c>
      <c r="BB20" s="7" t="s">
        <v>50</v>
      </c>
      <c r="BC20" s="7" t="s">
        <v>50</v>
      </c>
      <c r="BD20" s="7" t="s">
        <v>47</v>
      </c>
      <c r="BE20" s="7" t="s">
        <v>50</v>
      </c>
      <c r="BF20" s="7"/>
      <c r="BG20" s="7" t="s">
        <v>50</v>
      </c>
      <c r="BH20" s="7" t="s">
        <v>50</v>
      </c>
      <c r="BI20" s="7" t="s">
        <v>47</v>
      </c>
      <c r="BJ20" s="7" t="s">
        <v>50</v>
      </c>
      <c r="BK20" s="7" t="s">
        <v>50</v>
      </c>
      <c r="BL20" s="7"/>
      <c r="BM20" s="7" t="s">
        <v>47</v>
      </c>
      <c r="BN20" s="7" t="s">
        <v>50</v>
      </c>
      <c r="BO20" s="7" t="s">
        <v>50</v>
      </c>
      <c r="BP20" s="7" t="s">
        <v>50</v>
      </c>
      <c r="BQ20" s="7" t="s">
        <v>47</v>
      </c>
      <c r="BR20" s="7"/>
      <c r="BS20" s="7" t="s">
        <v>50</v>
      </c>
      <c r="BT20" s="7" t="s">
        <v>47</v>
      </c>
      <c r="BU20" s="7" t="s">
        <v>47</v>
      </c>
      <c r="BV20" s="7" t="s">
        <v>47</v>
      </c>
      <c r="BW20" s="7" t="s">
        <v>50</v>
      </c>
      <c r="BX20" s="7" t="s">
        <v>50</v>
      </c>
      <c r="BY20" s="7"/>
      <c r="BZ20" s="7" t="s">
        <v>50</v>
      </c>
      <c r="CA20" s="7" t="s">
        <v>50</v>
      </c>
      <c r="CB20" s="7" t="s">
        <v>50</v>
      </c>
      <c r="CC20" s="7" t="s">
        <v>50</v>
      </c>
      <c r="CD20" s="7">
        <f>MEDIAN(2, 5, 1)</f>
        <v>2</v>
      </c>
      <c r="CE20" s="7">
        <f>MEDIAN(100, 10, 62)</f>
        <v>62</v>
      </c>
    </row>
    <row r="21" spans="1:83" ht="12.75" customHeight="1" x14ac:dyDescent="0.35">
      <c r="A21" s="7" t="s">
        <v>134</v>
      </c>
      <c r="B21" s="7" t="s">
        <v>135</v>
      </c>
      <c r="C21" s="7" t="s">
        <v>62</v>
      </c>
      <c r="D21" s="7" t="s">
        <v>63</v>
      </c>
      <c r="E21" s="7" t="s">
        <v>64</v>
      </c>
      <c r="F21" s="7" t="s">
        <v>50</v>
      </c>
      <c r="G21" s="7" t="s">
        <v>50</v>
      </c>
      <c r="H21" s="7" t="s">
        <v>50</v>
      </c>
      <c r="I21" s="7"/>
      <c r="J21" s="7" t="s">
        <v>50</v>
      </c>
      <c r="K21" s="7" t="s">
        <v>50</v>
      </c>
      <c r="L21" s="7" t="s">
        <v>50</v>
      </c>
      <c r="M21" s="7" t="s">
        <v>50</v>
      </c>
      <c r="N21" s="7" t="s">
        <v>50</v>
      </c>
      <c r="O21" s="7" t="s">
        <v>47</v>
      </c>
      <c r="P21" s="7" t="s">
        <v>47</v>
      </c>
      <c r="Q21" s="7" t="s">
        <v>47</v>
      </c>
      <c r="R21" s="7" t="s">
        <v>47</v>
      </c>
      <c r="S21" s="7" t="s">
        <v>47</v>
      </c>
      <c r="T21" s="7" t="s">
        <v>47</v>
      </c>
      <c r="U21" s="7" t="s">
        <v>50</v>
      </c>
      <c r="V21" s="7" t="s">
        <v>55</v>
      </c>
      <c r="W21" s="7" t="s">
        <v>48</v>
      </c>
      <c r="X21" s="7" t="s">
        <v>47</v>
      </c>
      <c r="Y21" s="7" t="s">
        <v>47</v>
      </c>
      <c r="Z21" s="7" t="s">
        <v>47</v>
      </c>
      <c r="AA21" s="7" t="s">
        <v>48</v>
      </c>
      <c r="AB21" s="7" t="s">
        <v>47</v>
      </c>
      <c r="AC21" s="7" t="s">
        <v>48</v>
      </c>
      <c r="AD21" s="7" t="s">
        <v>47</v>
      </c>
      <c r="AE21" s="7" t="s">
        <v>48</v>
      </c>
      <c r="AF21" s="7" t="s">
        <v>47</v>
      </c>
      <c r="AG21" s="7" t="s">
        <v>48</v>
      </c>
      <c r="AH21" s="7" t="s">
        <v>47</v>
      </c>
      <c r="AI21" s="7" t="s">
        <v>48</v>
      </c>
      <c r="AJ21" s="7" t="s">
        <v>47</v>
      </c>
      <c r="AK21" s="7" t="s">
        <v>48</v>
      </c>
      <c r="AL21" s="7" t="s">
        <v>47</v>
      </c>
      <c r="AM21" s="7" t="s">
        <v>48</v>
      </c>
      <c r="AN21" s="7" t="s">
        <v>47</v>
      </c>
      <c r="AO21" s="7" t="s">
        <v>48</v>
      </c>
      <c r="AP21" s="7" t="s">
        <v>47</v>
      </c>
      <c r="AQ21" s="7" t="s">
        <v>48</v>
      </c>
      <c r="AR21" s="7" t="s">
        <v>47</v>
      </c>
      <c r="AS21" s="7" t="s">
        <v>47</v>
      </c>
      <c r="AT21" s="7" t="s">
        <v>47</v>
      </c>
      <c r="AU21" s="7" t="s">
        <v>47</v>
      </c>
      <c r="AV21" s="7" t="s">
        <v>47</v>
      </c>
      <c r="AW21" s="7" t="s">
        <v>50</v>
      </c>
      <c r="AX21" s="7">
        <f>MEDIAN(MEDIAN(1,10),MEDIAN(4,5),MEDIAN(3,10))</f>
        <v>5.5</v>
      </c>
      <c r="AY21" s="7">
        <f>MEDIAN(500, 500, 1500)</f>
        <v>500</v>
      </c>
      <c r="AZ21" s="7">
        <f>MEDIAN(2000, 700, 1000)</f>
        <v>1000</v>
      </c>
      <c r="BA21" s="7" t="s">
        <v>50</v>
      </c>
      <c r="BB21" s="7" t="s">
        <v>50</v>
      </c>
      <c r="BC21" s="7" t="s">
        <v>50</v>
      </c>
      <c r="BD21" s="7" t="s">
        <v>50</v>
      </c>
      <c r="BE21" s="7" t="s">
        <v>50</v>
      </c>
      <c r="BF21" s="7"/>
      <c r="BG21" s="7" t="s">
        <v>50</v>
      </c>
      <c r="BH21" s="7" t="s">
        <v>47</v>
      </c>
      <c r="BI21" s="7" t="s">
        <v>47</v>
      </c>
      <c r="BJ21" s="7" t="s">
        <v>47</v>
      </c>
      <c r="BK21" s="7" t="s">
        <v>47</v>
      </c>
      <c r="BL21" s="7"/>
      <c r="BM21" s="7" t="s">
        <v>47</v>
      </c>
      <c r="BN21" s="7" t="s">
        <v>50</v>
      </c>
      <c r="BO21" s="7" t="s">
        <v>50</v>
      </c>
      <c r="BP21" s="7" t="s">
        <v>50</v>
      </c>
      <c r="BQ21" s="7" t="s">
        <v>47</v>
      </c>
      <c r="BR21" s="7"/>
      <c r="BS21" s="7" t="s">
        <v>47</v>
      </c>
      <c r="BT21" s="7" t="s">
        <v>50</v>
      </c>
      <c r="BU21" s="7" t="s">
        <v>50</v>
      </c>
      <c r="BV21" s="7" t="s">
        <v>50</v>
      </c>
      <c r="BW21" s="7" t="s">
        <v>50</v>
      </c>
      <c r="BX21" s="7" t="s">
        <v>50</v>
      </c>
      <c r="BY21" s="7"/>
      <c r="BZ21" s="7" t="s">
        <v>50</v>
      </c>
      <c r="CA21" s="7" t="s">
        <v>50</v>
      </c>
      <c r="CB21" s="7" t="s">
        <v>50</v>
      </c>
      <c r="CC21" s="7" t="s">
        <v>50</v>
      </c>
      <c r="CD21" s="7">
        <f>MEDIAN(1, 1, 21)</f>
        <v>1</v>
      </c>
      <c r="CE21" s="7">
        <f>MEDIAN(10, 15)</f>
        <v>12.5</v>
      </c>
    </row>
    <row r="22" spans="1:83" ht="12.75" customHeight="1" x14ac:dyDescent="0.35">
      <c r="A22" s="7" t="s">
        <v>136</v>
      </c>
      <c r="B22" s="7" t="s">
        <v>137</v>
      </c>
      <c r="C22" s="7" t="s">
        <v>108</v>
      </c>
      <c r="D22" s="7" t="s">
        <v>109</v>
      </c>
      <c r="E22" s="7" t="s">
        <v>46</v>
      </c>
      <c r="F22" s="7" t="s">
        <v>50</v>
      </c>
      <c r="G22" s="7" t="s">
        <v>50</v>
      </c>
      <c r="H22" s="7" t="s">
        <v>50</v>
      </c>
      <c r="I22" s="7"/>
      <c r="J22" s="7" t="s">
        <v>47</v>
      </c>
      <c r="K22" s="7" t="s">
        <v>50</v>
      </c>
      <c r="L22" s="7" t="s">
        <v>50</v>
      </c>
      <c r="M22" s="7" t="s">
        <v>50</v>
      </c>
      <c r="N22" s="7" t="s">
        <v>50</v>
      </c>
      <c r="O22" s="7" t="s">
        <v>47</v>
      </c>
      <c r="P22" s="7" t="s">
        <v>47</v>
      </c>
      <c r="Q22" s="7" t="s">
        <v>47</v>
      </c>
      <c r="R22" s="7" t="s">
        <v>47</v>
      </c>
      <c r="S22" s="7" t="s">
        <v>47</v>
      </c>
      <c r="T22" s="7" t="s">
        <v>50</v>
      </c>
      <c r="U22" s="7" t="s">
        <v>47</v>
      </c>
      <c r="V22" s="7" t="s">
        <v>49</v>
      </c>
      <c r="W22" s="7" t="s">
        <v>48</v>
      </c>
      <c r="X22" s="7" t="s">
        <v>47</v>
      </c>
      <c r="Y22" s="7" t="s">
        <v>50</v>
      </c>
      <c r="Z22" s="7" t="s">
        <v>50</v>
      </c>
      <c r="AA22" s="7" t="s">
        <v>151</v>
      </c>
      <c r="AB22" s="7" t="s">
        <v>47</v>
      </c>
      <c r="AC22" s="7" t="s">
        <v>48</v>
      </c>
      <c r="AD22" s="7" t="s">
        <v>47</v>
      </c>
      <c r="AE22" s="7" t="s">
        <v>48</v>
      </c>
      <c r="AF22" s="7" t="s">
        <v>47</v>
      </c>
      <c r="AG22" s="7" t="s">
        <v>48</v>
      </c>
      <c r="AH22" s="7" t="s">
        <v>50</v>
      </c>
      <c r="AI22" s="8">
        <v>0.5</v>
      </c>
      <c r="AJ22" s="7" t="s">
        <v>47</v>
      </c>
      <c r="AK22" s="7" t="s">
        <v>48</v>
      </c>
      <c r="AL22" s="7" t="s">
        <v>47</v>
      </c>
      <c r="AM22" s="7" t="s">
        <v>48</v>
      </c>
      <c r="AN22" s="7" t="s">
        <v>50</v>
      </c>
      <c r="AO22" s="7" t="s">
        <v>200</v>
      </c>
      <c r="AP22" s="7" t="s">
        <v>50</v>
      </c>
      <c r="AQ22" s="10" t="s">
        <v>138</v>
      </c>
      <c r="AR22" s="7" t="s">
        <v>47</v>
      </c>
      <c r="AS22" s="7" t="s">
        <v>47</v>
      </c>
      <c r="AT22" s="7" t="s">
        <v>47</v>
      </c>
      <c r="AU22" s="7" t="s">
        <v>47</v>
      </c>
      <c r="AV22" s="7" t="s">
        <v>50</v>
      </c>
      <c r="AW22" s="7" t="s">
        <v>50</v>
      </c>
      <c r="AX22" s="7">
        <f>MEDIAN(4, 3, MEDIAN(5, 15), 10)</f>
        <v>7</v>
      </c>
      <c r="AY22" s="7">
        <f>MEDIAN(100, 15, 235)</f>
        <v>100</v>
      </c>
      <c r="AZ22" s="7">
        <f>MEDIAN(25, 20, 235)</f>
        <v>25</v>
      </c>
      <c r="BA22" s="7" t="s">
        <v>50</v>
      </c>
      <c r="BB22" s="7" t="s">
        <v>47</v>
      </c>
      <c r="BC22" s="7" t="s">
        <v>47</v>
      </c>
      <c r="BD22" s="7" t="s">
        <v>47</v>
      </c>
      <c r="BE22" s="7" t="s">
        <v>47</v>
      </c>
      <c r="BF22" s="7"/>
      <c r="BG22" s="7" t="s">
        <v>47</v>
      </c>
      <c r="BH22" s="7" t="s">
        <v>47</v>
      </c>
      <c r="BI22" s="7" t="s">
        <v>47</v>
      </c>
      <c r="BJ22" s="7" t="s">
        <v>47</v>
      </c>
      <c r="BK22" s="7" t="s">
        <v>47</v>
      </c>
      <c r="BL22" s="7"/>
      <c r="BM22" s="7" t="s">
        <v>50</v>
      </c>
      <c r="BN22" s="7" t="s">
        <v>50</v>
      </c>
      <c r="BO22" s="7" t="s">
        <v>50</v>
      </c>
      <c r="BP22" s="7" t="s">
        <v>50</v>
      </c>
      <c r="BQ22" s="7" t="s">
        <v>47</v>
      </c>
      <c r="BR22" s="7"/>
      <c r="BS22" s="7" t="s">
        <v>50</v>
      </c>
      <c r="BT22" s="7" t="s">
        <v>50</v>
      </c>
      <c r="BU22" s="7" t="s">
        <v>47</v>
      </c>
      <c r="BV22" s="7" t="s">
        <v>47</v>
      </c>
      <c r="BW22" s="7" t="s">
        <v>50</v>
      </c>
      <c r="BX22" s="7" t="s">
        <v>50</v>
      </c>
      <c r="BY22" s="7"/>
      <c r="BZ22" s="7" t="s">
        <v>50</v>
      </c>
      <c r="CA22" s="7" t="s">
        <v>47</v>
      </c>
      <c r="CB22" s="7" t="s">
        <v>50</v>
      </c>
      <c r="CC22" s="7" t="s">
        <v>50</v>
      </c>
      <c r="CD22" s="7">
        <f>MEDIAN(2, 1, 15)</f>
        <v>2</v>
      </c>
      <c r="CE22" s="7">
        <f>MEDIAN(100, 5, 3.45)</f>
        <v>5</v>
      </c>
    </row>
    <row r="23" spans="1:83" ht="12.75" customHeight="1" x14ac:dyDescent="0.35">
      <c r="A23" s="7" t="s">
        <v>139</v>
      </c>
      <c r="B23" s="7" t="s">
        <v>148</v>
      </c>
      <c r="C23" s="7" t="s">
        <v>108</v>
      </c>
      <c r="D23" s="7" t="s">
        <v>109</v>
      </c>
      <c r="E23" s="7" t="s">
        <v>76</v>
      </c>
      <c r="F23" s="7" t="s">
        <v>50</v>
      </c>
      <c r="G23" s="7" t="s">
        <v>47</v>
      </c>
      <c r="H23" s="7" t="s">
        <v>50</v>
      </c>
      <c r="I23" s="7"/>
      <c r="J23" s="7" t="s">
        <v>50</v>
      </c>
      <c r="K23" s="7" t="s">
        <v>47</v>
      </c>
      <c r="L23" s="7" t="s">
        <v>47</v>
      </c>
      <c r="M23" s="7" t="s">
        <v>47</v>
      </c>
      <c r="N23" s="7" t="s">
        <v>50</v>
      </c>
      <c r="O23" s="7" t="s">
        <v>47</v>
      </c>
      <c r="P23" s="7" t="s">
        <v>47</v>
      </c>
      <c r="Q23" s="7" t="s">
        <v>47</v>
      </c>
      <c r="R23" s="7" t="s">
        <v>47</v>
      </c>
      <c r="S23" s="7" t="s">
        <v>47</v>
      </c>
      <c r="T23" s="7" t="s">
        <v>47</v>
      </c>
      <c r="U23" s="7" t="s">
        <v>47</v>
      </c>
      <c r="V23" s="7" t="s">
        <v>55</v>
      </c>
      <c r="W23" s="7" t="s">
        <v>48</v>
      </c>
      <c r="X23" s="7" t="s">
        <v>47</v>
      </c>
      <c r="Y23" s="7" t="s">
        <v>47</v>
      </c>
      <c r="Z23" s="7" t="s">
        <v>47</v>
      </c>
      <c r="AA23" s="7" t="s">
        <v>48</v>
      </c>
      <c r="AB23" s="7" t="s">
        <v>47</v>
      </c>
      <c r="AC23" s="7" t="s">
        <v>48</v>
      </c>
      <c r="AD23" s="7" t="s">
        <v>47</v>
      </c>
      <c r="AE23" s="7" t="s">
        <v>48</v>
      </c>
      <c r="AF23" s="7" t="s">
        <v>47</v>
      </c>
      <c r="AG23" s="7" t="s">
        <v>48</v>
      </c>
      <c r="AH23" s="7" t="s">
        <v>47</v>
      </c>
      <c r="AI23" s="7" t="s">
        <v>48</v>
      </c>
      <c r="AJ23" s="7" t="s">
        <v>47</v>
      </c>
      <c r="AK23" s="7" t="s">
        <v>48</v>
      </c>
      <c r="AL23" s="7" t="s">
        <v>47</v>
      </c>
      <c r="AM23" s="7" t="s">
        <v>48</v>
      </c>
      <c r="AN23" s="7" t="s">
        <v>47</v>
      </c>
      <c r="AO23" s="7" t="s">
        <v>48</v>
      </c>
      <c r="AP23" s="7" t="s">
        <v>47</v>
      </c>
      <c r="AQ23" s="7" t="s">
        <v>48</v>
      </c>
      <c r="AR23" s="7" t="s">
        <v>47</v>
      </c>
      <c r="AS23" s="7" t="s">
        <v>47</v>
      </c>
      <c r="AT23" s="7" t="s">
        <v>47</v>
      </c>
      <c r="AU23" s="7" t="s">
        <v>47</v>
      </c>
      <c r="AV23" s="7" t="s">
        <v>47</v>
      </c>
      <c r="AW23" s="7" t="s">
        <v>50</v>
      </c>
      <c r="AX23" s="7">
        <f>MEDIAN(MEDIAN(2,3), 30, 5, 7)</f>
        <v>6</v>
      </c>
      <c r="AY23" s="7">
        <f>MEDIAN(60, MEDIAN(250,5000), 50, 0, 500)</f>
        <v>60</v>
      </c>
      <c r="AZ23" s="7">
        <f>MEDIAN(300, 300, 300, 250, 270)</f>
        <v>300</v>
      </c>
      <c r="BA23" s="7" t="s">
        <v>50</v>
      </c>
      <c r="BB23" s="7" t="s">
        <v>47</v>
      </c>
      <c r="BC23" s="7" t="s">
        <v>47</v>
      </c>
      <c r="BD23" s="7" t="s">
        <v>47</v>
      </c>
      <c r="BE23" s="7" t="s">
        <v>47</v>
      </c>
      <c r="BF23" s="7"/>
      <c r="BG23" s="7" t="s">
        <v>47</v>
      </c>
      <c r="BH23" s="7" t="s">
        <v>47</v>
      </c>
      <c r="BI23" s="7" t="s">
        <v>47</v>
      </c>
      <c r="BJ23" s="7" t="s">
        <v>47</v>
      </c>
      <c r="BK23" s="7" t="s">
        <v>47</v>
      </c>
      <c r="BL23" s="7"/>
      <c r="BM23" s="7" t="s">
        <v>50</v>
      </c>
      <c r="BN23" s="7" t="s">
        <v>50</v>
      </c>
      <c r="BO23" s="7" t="s">
        <v>50</v>
      </c>
      <c r="BP23" s="7" t="s">
        <v>50</v>
      </c>
      <c r="BQ23" s="7" t="s">
        <v>50</v>
      </c>
      <c r="BR23" s="7"/>
      <c r="BS23" s="7" t="s">
        <v>50</v>
      </c>
      <c r="BT23" s="7" t="s">
        <v>47</v>
      </c>
      <c r="BU23" s="7" t="s">
        <v>47</v>
      </c>
      <c r="BV23" s="7" t="s">
        <v>47</v>
      </c>
      <c r="BW23" s="7" t="s">
        <v>50</v>
      </c>
      <c r="BX23" s="7" t="s">
        <v>50</v>
      </c>
      <c r="BY23" s="7"/>
      <c r="BZ23" s="7" t="s">
        <v>50</v>
      </c>
      <c r="CA23" s="7" t="s">
        <v>50</v>
      </c>
      <c r="CB23" s="7" t="s">
        <v>50</v>
      </c>
      <c r="CC23" s="7" t="s">
        <v>50</v>
      </c>
      <c r="CD23" s="7">
        <f>MEDIAN(7, 1, 0, 30)</f>
        <v>4</v>
      </c>
      <c r="CE23" s="7">
        <f>MEDIAN(MEDIAN(0, 30), 120, 300, 35, 40)</f>
        <v>40</v>
      </c>
    </row>
    <row r="24" spans="1:83" ht="12.75" customHeight="1" x14ac:dyDescent="0.35">
      <c r="A24" s="11" t="s">
        <v>140</v>
      </c>
      <c r="B24" s="11" t="s">
        <v>141</v>
      </c>
      <c r="C24" s="11" t="s">
        <v>83</v>
      </c>
      <c r="D24" s="11" t="s">
        <v>84</v>
      </c>
      <c r="E24" s="11" t="s">
        <v>46</v>
      </c>
      <c r="F24" s="7" t="s">
        <v>50</v>
      </c>
      <c r="G24" s="7" t="s">
        <v>47</v>
      </c>
      <c r="H24" s="7" t="s">
        <v>50</v>
      </c>
      <c r="I24" s="7"/>
      <c r="J24" s="7" t="s">
        <v>50</v>
      </c>
      <c r="K24" s="7" t="s">
        <v>50</v>
      </c>
      <c r="L24" s="7" t="s">
        <v>50</v>
      </c>
      <c r="M24" s="7" t="s">
        <v>50</v>
      </c>
      <c r="N24" s="7" t="s">
        <v>50</v>
      </c>
      <c r="O24" s="7" t="s">
        <v>50</v>
      </c>
      <c r="P24" s="7" t="s">
        <v>47</v>
      </c>
      <c r="Q24" s="7" t="s">
        <v>47</v>
      </c>
      <c r="R24" s="7" t="s">
        <v>47</v>
      </c>
      <c r="S24" s="7" t="s">
        <v>50</v>
      </c>
      <c r="T24" s="7" t="s">
        <v>50</v>
      </c>
      <c r="U24" s="9" t="s">
        <v>50</v>
      </c>
      <c r="V24" s="7" t="s">
        <v>55</v>
      </c>
      <c r="W24" s="7" t="s">
        <v>48</v>
      </c>
      <c r="X24" s="7" t="s">
        <v>50</v>
      </c>
      <c r="Y24" s="7" t="s">
        <v>50</v>
      </c>
      <c r="Z24" s="7" t="s">
        <v>50</v>
      </c>
      <c r="AA24" s="7" t="s">
        <v>142</v>
      </c>
      <c r="AB24" s="7" t="s">
        <v>50</v>
      </c>
      <c r="AC24" s="8">
        <v>1</v>
      </c>
      <c r="AD24" s="7" t="s">
        <v>50</v>
      </c>
      <c r="AE24" s="8" t="s">
        <v>143</v>
      </c>
      <c r="AF24" s="7" t="s">
        <v>50</v>
      </c>
      <c r="AG24" s="7" t="s">
        <v>144</v>
      </c>
      <c r="AH24" s="7" t="s">
        <v>50</v>
      </c>
      <c r="AI24" s="7" t="s">
        <v>145</v>
      </c>
      <c r="AJ24" s="7" t="s">
        <v>47</v>
      </c>
      <c r="AK24" s="7" t="s">
        <v>48</v>
      </c>
      <c r="AL24" s="7" t="s">
        <v>47</v>
      </c>
      <c r="AM24" s="7" t="s">
        <v>48</v>
      </c>
      <c r="AN24" s="7" t="s">
        <v>50</v>
      </c>
      <c r="AO24" s="7" t="s">
        <v>146</v>
      </c>
      <c r="AP24" s="7" t="s">
        <v>50</v>
      </c>
      <c r="AQ24" s="7" t="s">
        <v>147</v>
      </c>
      <c r="AR24" s="7" t="s">
        <v>50</v>
      </c>
      <c r="AS24" s="7" t="s">
        <v>47</v>
      </c>
      <c r="AT24" s="7" t="s">
        <v>50</v>
      </c>
      <c r="AU24" s="7" t="s">
        <v>50</v>
      </c>
      <c r="AV24" s="7" t="s">
        <v>50</v>
      </c>
      <c r="AW24" s="7" t="s">
        <v>50</v>
      </c>
      <c r="AX24" s="7">
        <f>MEDIAN(0, 2, 1, 3, (MEDIAN(3,7)))</f>
        <v>2</v>
      </c>
      <c r="AY24" s="7">
        <f>MEDIAN(0, 10, 0, 0)</f>
        <v>0</v>
      </c>
      <c r="AZ24" s="7">
        <f>MEDIAN(6, 31, 10, 8, 10)</f>
        <v>10</v>
      </c>
      <c r="BA24" s="9" t="s">
        <v>50</v>
      </c>
      <c r="BB24" s="7" t="s">
        <v>50</v>
      </c>
      <c r="BC24" s="7" t="s">
        <v>50</v>
      </c>
      <c r="BD24" s="7" t="s">
        <v>50</v>
      </c>
      <c r="BE24" s="7" t="s">
        <v>50</v>
      </c>
      <c r="BF24" s="7"/>
      <c r="BG24" s="7" t="s">
        <v>47</v>
      </c>
      <c r="BH24" s="7" t="s">
        <v>47</v>
      </c>
      <c r="BI24" s="7" t="s">
        <v>47</v>
      </c>
      <c r="BJ24" s="7" t="s">
        <v>47</v>
      </c>
      <c r="BK24" s="7" t="s">
        <v>47</v>
      </c>
      <c r="BL24" s="9"/>
      <c r="BM24" s="7" t="s">
        <v>47</v>
      </c>
      <c r="BN24" s="7" t="s">
        <v>50</v>
      </c>
      <c r="BO24" s="7" t="s">
        <v>50</v>
      </c>
      <c r="BP24" s="7" t="s">
        <v>50</v>
      </c>
      <c r="BQ24" s="7" t="s">
        <v>47</v>
      </c>
      <c r="BR24" s="7"/>
      <c r="BS24" s="7" t="s">
        <v>50</v>
      </c>
      <c r="BT24" s="7" t="s">
        <v>47</v>
      </c>
      <c r="BU24" s="7" t="s">
        <v>47</v>
      </c>
      <c r="BV24" s="7" t="s">
        <v>50</v>
      </c>
      <c r="BW24" s="7" t="s">
        <v>50</v>
      </c>
      <c r="BX24" s="7" t="s">
        <v>50</v>
      </c>
      <c r="BY24" s="7"/>
      <c r="BZ24" s="7" t="s">
        <v>47</v>
      </c>
      <c r="CA24" s="7" t="s">
        <v>50</v>
      </c>
      <c r="CB24" s="7" t="s">
        <v>50</v>
      </c>
      <c r="CC24" s="7" t="s">
        <v>47</v>
      </c>
      <c r="CD24" s="7">
        <f>MEDIAN(0, 2, 3, 3, 1)</f>
        <v>2</v>
      </c>
      <c r="CE24" s="9">
        <f>MEDIAN(0, 20, 8.75)</f>
        <v>8.75</v>
      </c>
    </row>
  </sheetData>
  <mergeCells count="3">
    <mergeCell ref="BB2:BK2"/>
    <mergeCell ref="BL2:CE2"/>
    <mergeCell ref="F2:BA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DABE123-D284-4C45-8AEE-6C0F2217B5EB}">
          <x14:formula1>
            <xm:f>'https://worldbankgroup-my.sharepoint.com/personal/vbalzapineda_worldbank_org1/Documents/DBI 2020/Data/[Master Coding Sheet_0701clean.xlsx]Drop Down Menus'!#REF!</xm:f>
          </x14:formula1>
          <xm:sqref>CC5:CC24 BW4:BW23 BF18 AL4:AL24 AP21:AP24 AD4:AD24 AJ4:AJ24 J4:M4 AN4:AN24 AP15:AP18 AH4:AH24 AP4:AP13 AB4:AB24 X4:Z24 AF17:AF24 BF12:BF13 BF21:BF23 BF15:BF16 F4:G24 H16:I24 H4:I14 AW4:AW24 N4:U24 BG4:BV24 BA4:BE24 AR4:AU24 AV5:AV24 AF4:AF15 BX4:BZ24 CB4:CB24 CA4:CA15 CA17:CA24</xm:sqref>
        </x14:dataValidation>
        <x14:dataValidation type="list" allowBlank="1" showInputMessage="1" showErrorMessage="1" xr:uid="{8535F6EA-68DC-48AF-BA13-FF90E3E5CC8C}">
          <x14:formula1>
            <xm:f>'https://worldbankgroup-my.sharepoint.com/personal/vbalzapineda_worldbank_org1/Documents/DBI 2020/Data/[Master Coding Sheet_0701clean.xlsx]Drop Down Menus'!#REF!</xm:f>
          </x14:formula1>
          <xm:sqref>V4:V24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a63d8cbc5776440b4605839fcd6ed555">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fcc0cd3db450f803f548015fd1514174"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D22454-AAAA-4687-A275-331F56739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83E606-50C4-4B3F-AC19-33CFE8938AAD}">
  <ds:schemaRefs>
    <ds:schemaRef ds:uri="http://schemas.microsoft.com/sharepoint/v3/contenttype/forms"/>
  </ds:schemaRefs>
</ds:datastoreItem>
</file>

<file path=customXml/itemProps3.xml><?xml version="1.0" encoding="utf-8"?>
<ds:datastoreItem xmlns:ds="http://schemas.openxmlformats.org/officeDocument/2006/customXml" ds:itemID="{C5BEFB7C-3A06-4D0E-B7EB-74BF8A72061A}">
  <ds:schemaRefs>
    <ds:schemaRef ds:uri="http://schemas.microsoft.com/office/2006/documentManagement/types"/>
    <ds:schemaRef ds:uri="http://purl.org/dc/elements/1.1/"/>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2834bc84-a818-4cb9-8b4d-5179cfe104eb"/>
    <ds:schemaRef ds:uri="543abfbf-1b39-4535-8b1b-c72a4cdaa48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Connectivity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 Maria Balza Pineda</dc:creator>
  <cp:lastModifiedBy>Roula I. Yazigi</cp:lastModifiedBy>
  <dcterms:created xsi:type="dcterms:W3CDTF">2019-07-02T19:30:54Z</dcterms:created>
  <dcterms:modified xsi:type="dcterms:W3CDTF">2019-07-26T01:00:21Z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ies>
</file>