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b525383\Documents\BBLs\FY 19\Financial Analysis Training\"/>
    </mc:Choice>
  </mc:AlternateContent>
  <xr:revisionPtr revIDLastSave="0" documentId="8_{2CA6E86B-44EA-407F-9BAF-08FE6C106C0F}" xr6:coauthVersionLast="31" xr6:coauthVersionMax="31" xr10:uidLastSave="{00000000-0000-0000-0000-000000000000}"/>
  <workbookProtection workbookPassword="8DA8" lockStructure="1" lockWindows="1"/>
  <bookViews>
    <workbookView xWindow="0" yWindow="0" windowWidth="25200" windowHeight="11775" xr2:uid="{00000000-000D-0000-FFFF-FFFF00000000}"/>
  </bookViews>
  <sheets>
    <sheet name="Dashboard" sheetId="17" r:id="rId1"/>
    <sheet name="Assumptions" sheetId="4" r:id="rId2"/>
    <sheet name="Opening Positions" sheetId="1" r:id="rId3"/>
    <sheet name="Connections &amp; Opex" sheetId="14" r:id="rId4"/>
    <sheet name="Projects &amp; Financing" sheetId="9" r:id="rId5"/>
    <sheet name="Output Statements" sheetId="11" r:id="rId6"/>
    <sheet name="Title" sheetId="12" r:id="rId7"/>
    <sheet name="NPV" sheetId="16" r:id="rId8"/>
    <sheet name="Tariffs Analysis" sheetId="3" r:id="rId9"/>
  </sheets>
  <definedNames>
    <definedName name="__123Graph_LBL_A" localSheetId="5" hidden="1">'Projects &amp; Financing'!$A$52:$A$52</definedName>
    <definedName name="_Regression_Int" localSheetId="5" hidden="1">1</definedName>
    <definedName name="ALL">'Output Statements'!$A$1:$M$345</definedName>
    <definedName name="BALANCE">'Output Statements'!$A$134:$M$184</definedName>
    <definedName name="BORROWING">'Output Statements'!#REF!</definedName>
    <definedName name="CASHFLOW">'Output Statements'!#REF!</definedName>
    <definedName name="CONSTRUCTION">'Output Statements'!$A$247:$M$317</definedName>
    <definedName name="FINANCE">'Output Statements'!#REF!</definedName>
    <definedName name="FINANCE1">'Output Statements'!#REF!</definedName>
    <definedName name="FINANCE2">'Output Statements'!#REF!</definedName>
    <definedName name="INCOME">'Output Statements'!$M$87:$IN$7509</definedName>
    <definedName name="INPUT">'Output Statements'!$A$346:$IN$7509</definedName>
    <definedName name="INVESTMENT">'Output Statements'!$A$186:$M$200</definedName>
    <definedName name="IRR">'Output Statements'!#REF!</definedName>
    <definedName name="_xlnm.Print_Area" localSheetId="5">'Output Statements'!$A$1:$L$345</definedName>
    <definedName name="Print_Area_MI">'Output Statements'!$A$134:$L$345</definedName>
    <definedName name="STATEMENTS">'Output Statements'!$A$1:$M$184</definedName>
    <definedName name="SUMMARY">'Output Statements'!#REF!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48" i="9" l="1"/>
  <c r="B48" i="9"/>
  <c r="O18" i="14" l="1"/>
  <c r="N18" i="14"/>
  <c r="M18" i="14"/>
  <c r="L18" i="14"/>
  <c r="K18" i="14"/>
  <c r="J18" i="14"/>
  <c r="I18" i="14"/>
  <c r="H18" i="14"/>
  <c r="G18" i="14"/>
  <c r="B8" i="14"/>
  <c r="J21" i="17" l="1"/>
  <c r="I21" i="17"/>
  <c r="H21" i="17"/>
  <c r="G21" i="17"/>
  <c r="F21" i="17"/>
  <c r="J20" i="17"/>
  <c r="J17" i="17"/>
  <c r="I17" i="17"/>
  <c r="H17" i="17"/>
  <c r="G17" i="17"/>
  <c r="F17" i="17"/>
  <c r="L17" i="17" s="1"/>
  <c r="B6" i="14" l="1"/>
  <c r="B12" i="16"/>
  <c r="H1" i="17" l="1"/>
  <c r="I12" i="9"/>
  <c r="H12" i="9"/>
  <c r="G12" i="9"/>
  <c r="F12" i="9"/>
  <c r="E12" i="9"/>
  <c r="D12" i="9"/>
  <c r="C12" i="9"/>
  <c r="B12" i="9"/>
  <c r="A32" i="17"/>
  <c r="A31" i="17"/>
  <c r="J19" i="17"/>
  <c r="F7" i="9" s="1"/>
  <c r="I19" i="17"/>
  <c r="E7" i="9" s="1"/>
  <c r="L32" i="17"/>
  <c r="L31" i="17"/>
  <c r="L30" i="17"/>
  <c r="L22" i="17"/>
  <c r="L11" i="17"/>
  <c r="L10" i="17"/>
  <c r="L9" i="17"/>
  <c r="L8" i="17"/>
  <c r="L7" i="17"/>
  <c r="L6" i="17"/>
  <c r="B49" i="9"/>
  <c r="F28" i="9"/>
  <c r="F224" i="11" s="1"/>
  <c r="F118" i="11" s="1"/>
  <c r="F46" i="11" s="1"/>
  <c r="E28" i="9"/>
  <c r="E224" i="11" s="1"/>
  <c r="E118" i="11" s="1"/>
  <c r="E46" i="11" s="1"/>
  <c r="F27" i="9"/>
  <c r="F216" i="11" s="1"/>
  <c r="F117" i="11" s="1"/>
  <c r="F45" i="11" s="1"/>
  <c r="E27" i="9"/>
  <c r="E216" i="11" s="1"/>
  <c r="D28" i="9"/>
  <c r="D224" i="11" s="1"/>
  <c r="D118" i="11" s="1"/>
  <c r="D46" i="11" s="1"/>
  <c r="C28" i="9"/>
  <c r="C224" i="11" s="1"/>
  <c r="B28" i="9"/>
  <c r="B224" i="11" s="1"/>
  <c r="B118" i="11" s="1"/>
  <c r="B46" i="11" s="1"/>
  <c r="D27" i="9"/>
  <c r="D216" i="11" s="1"/>
  <c r="D117" i="11" s="1"/>
  <c r="C27" i="9"/>
  <c r="C216" i="11" s="1"/>
  <c r="C117" i="11" s="1"/>
  <c r="B27" i="9"/>
  <c r="B216" i="11" s="1"/>
  <c r="B117" i="11" s="1"/>
  <c r="B45" i="11" s="1"/>
  <c r="A26" i="9"/>
  <c r="F26" i="9"/>
  <c r="F333" i="11" s="1"/>
  <c r="F116" i="11" s="1"/>
  <c r="E26" i="9"/>
  <c r="E333" i="11" s="1"/>
  <c r="E116" i="11" s="1"/>
  <c r="E44" i="11" s="1"/>
  <c r="D26" i="9"/>
  <c r="D333" i="11" s="1"/>
  <c r="D116" i="11" s="1"/>
  <c r="D44" i="11" s="1"/>
  <c r="C26" i="9"/>
  <c r="C333" i="11" s="1"/>
  <c r="C116" i="11" s="1"/>
  <c r="C44" i="11" s="1"/>
  <c r="B26" i="9"/>
  <c r="B333" i="11" s="1"/>
  <c r="B116" i="11" s="1"/>
  <c r="I333" i="11"/>
  <c r="I116" i="11"/>
  <c r="H333" i="11"/>
  <c r="H116" i="11" s="1"/>
  <c r="G333" i="11"/>
  <c r="G116" i="11" s="1"/>
  <c r="G44" i="11" s="1"/>
  <c r="I11" i="9"/>
  <c r="H11" i="9"/>
  <c r="G11" i="9"/>
  <c r="I10" i="9"/>
  <c r="H10" i="9"/>
  <c r="G10" i="9"/>
  <c r="F10" i="9"/>
  <c r="E10" i="9"/>
  <c r="D10" i="9"/>
  <c r="C10" i="9"/>
  <c r="B10" i="9"/>
  <c r="B20" i="4"/>
  <c r="C20" i="4" s="1"/>
  <c r="D20" i="4" s="1"/>
  <c r="E20" i="4" s="1"/>
  <c r="F20" i="4" s="1"/>
  <c r="J23" i="17"/>
  <c r="I23" i="17"/>
  <c r="E11" i="9" s="1"/>
  <c r="H23" i="17"/>
  <c r="D11" i="9" s="1"/>
  <c r="G23" i="17"/>
  <c r="C11" i="9" s="1"/>
  <c r="F23" i="17"/>
  <c r="B11" i="9" s="1"/>
  <c r="B19" i="14"/>
  <c r="F10" i="14"/>
  <c r="F18" i="14" s="1"/>
  <c r="E10" i="14"/>
  <c r="E18" i="14" s="1"/>
  <c r="D10" i="14"/>
  <c r="D18" i="14" s="1"/>
  <c r="C10" i="14"/>
  <c r="C18" i="14" s="1"/>
  <c r="B10" i="14"/>
  <c r="B18" i="14" s="1"/>
  <c r="F15" i="14"/>
  <c r="F16" i="14" s="1"/>
  <c r="E15" i="14"/>
  <c r="E16" i="14" s="1"/>
  <c r="D15" i="14"/>
  <c r="D16" i="14" s="1"/>
  <c r="C15" i="14"/>
  <c r="C16" i="14" s="1"/>
  <c r="B15" i="14"/>
  <c r="B16" i="14" s="1"/>
  <c r="F9" i="9"/>
  <c r="E9" i="9"/>
  <c r="D9" i="9"/>
  <c r="B9" i="9"/>
  <c r="I20" i="17"/>
  <c r="E8" i="9" s="1"/>
  <c r="H20" i="17"/>
  <c r="G20" i="17"/>
  <c r="C8" i="9" s="1"/>
  <c r="F20" i="17"/>
  <c r="H19" i="17"/>
  <c r="G19" i="17"/>
  <c r="C7" i="9" s="1"/>
  <c r="F19" i="17"/>
  <c r="F14" i="14"/>
  <c r="F338" i="11" s="1"/>
  <c r="E14" i="14"/>
  <c r="E338" i="11" s="1"/>
  <c r="D14" i="14"/>
  <c r="D338" i="11" s="1"/>
  <c r="C14" i="14"/>
  <c r="C338" i="11" s="1"/>
  <c r="B14" i="14"/>
  <c r="A11" i="9"/>
  <c r="A196" i="11" s="1"/>
  <c r="A10" i="9"/>
  <c r="A195" i="11" s="1"/>
  <c r="A9" i="9"/>
  <c r="A194" i="11" s="1"/>
  <c r="A8" i="9"/>
  <c r="A193" i="11" s="1"/>
  <c r="A7" i="9"/>
  <c r="A192" i="11" s="1"/>
  <c r="A6" i="9"/>
  <c r="A191" i="11" s="1"/>
  <c r="J18" i="17"/>
  <c r="F6" i="9" s="1"/>
  <c r="I18" i="17"/>
  <c r="H18" i="17"/>
  <c r="D6" i="9" s="1"/>
  <c r="G18" i="17"/>
  <c r="F18" i="17"/>
  <c r="B6" i="9" s="1"/>
  <c r="B5" i="14"/>
  <c r="B26" i="11" s="1"/>
  <c r="A51" i="11"/>
  <c r="A134" i="11"/>
  <c r="B207" i="11"/>
  <c r="B9" i="14"/>
  <c r="A2" i="16"/>
  <c r="A4" i="16"/>
  <c r="A3" i="16"/>
  <c r="B33" i="9"/>
  <c r="D49" i="9"/>
  <c r="C49" i="9"/>
  <c r="B10" i="4"/>
  <c r="C10" i="4"/>
  <c r="D10" i="4"/>
  <c r="E10" i="4"/>
  <c r="F10" i="4"/>
  <c r="G10" i="4"/>
  <c r="H10" i="4"/>
  <c r="I10" i="4"/>
  <c r="J10" i="4"/>
  <c r="K10" i="4"/>
  <c r="L10" i="4"/>
  <c r="M10" i="4"/>
  <c r="N10" i="4"/>
  <c r="O10" i="4"/>
  <c r="B12" i="4"/>
  <c r="B15" i="4"/>
  <c r="C15" i="4" s="1"/>
  <c r="D15" i="4" s="1"/>
  <c r="E15" i="4" s="1"/>
  <c r="F15" i="4" s="1"/>
  <c r="B3" i="14"/>
  <c r="C3" i="14" s="1"/>
  <c r="B4" i="14"/>
  <c r="B41" i="14"/>
  <c r="C41" i="14"/>
  <c r="D41" i="14"/>
  <c r="E41" i="14"/>
  <c r="F41" i="14"/>
  <c r="G41" i="14"/>
  <c r="H41" i="14"/>
  <c r="I41" i="14"/>
  <c r="J41" i="14"/>
  <c r="K41" i="14"/>
  <c r="L41" i="14"/>
  <c r="M41" i="14"/>
  <c r="N41" i="14"/>
  <c r="O41" i="14"/>
  <c r="B46" i="14"/>
  <c r="B69" i="11" s="1"/>
  <c r="C46" i="14"/>
  <c r="D46" i="14"/>
  <c r="E46" i="14"/>
  <c r="F46" i="14"/>
  <c r="G46" i="14"/>
  <c r="H46" i="14"/>
  <c r="I46" i="14"/>
  <c r="J46" i="14"/>
  <c r="K46" i="14"/>
  <c r="L46" i="14"/>
  <c r="M46" i="14"/>
  <c r="N46" i="14"/>
  <c r="O46" i="14"/>
  <c r="F6" i="1"/>
  <c r="D8" i="1"/>
  <c r="G8" i="1"/>
  <c r="E11" i="1"/>
  <c r="E12" i="1"/>
  <c r="E14" i="1"/>
  <c r="D19" i="1"/>
  <c r="G19" i="1"/>
  <c r="A4" i="11"/>
  <c r="A54" i="11" s="1"/>
  <c r="A91" i="11" s="1"/>
  <c r="A137" i="11" s="1"/>
  <c r="A189" i="11" s="1"/>
  <c r="A204" i="11" s="1"/>
  <c r="A250" i="11" s="1"/>
  <c r="K4" i="11"/>
  <c r="B5" i="11"/>
  <c r="C5" i="11" s="1"/>
  <c r="D5" i="11" s="1"/>
  <c r="E5" i="11" s="1"/>
  <c r="F5" i="11" s="1"/>
  <c r="G5" i="11" s="1"/>
  <c r="H5" i="11" s="1"/>
  <c r="I5" i="11" s="1"/>
  <c r="J5" i="11" s="1"/>
  <c r="K5" i="11" s="1"/>
  <c r="L5" i="11" s="1"/>
  <c r="M5" i="11" s="1"/>
  <c r="N5" i="11" s="1"/>
  <c r="O5" i="11" s="1"/>
  <c r="B7" i="11"/>
  <c r="B8" i="11"/>
  <c r="B9" i="11"/>
  <c r="B10" i="11"/>
  <c r="C10" i="11"/>
  <c r="D10" i="11"/>
  <c r="E10" i="11"/>
  <c r="F10" i="11"/>
  <c r="G10" i="11"/>
  <c r="H10" i="11"/>
  <c r="I10" i="11"/>
  <c r="J10" i="11"/>
  <c r="K10" i="11"/>
  <c r="L10" i="11"/>
  <c r="M10" i="11"/>
  <c r="N10" i="11"/>
  <c r="O10" i="11"/>
  <c r="A44" i="11"/>
  <c r="A48" i="11"/>
  <c r="K54" i="11"/>
  <c r="B55" i="11"/>
  <c r="C55" i="11" s="1"/>
  <c r="A67" i="11"/>
  <c r="A68" i="11"/>
  <c r="A69" i="11"/>
  <c r="A70" i="11"/>
  <c r="A71" i="11"/>
  <c r="A72" i="11"/>
  <c r="A74" i="11"/>
  <c r="K91" i="11"/>
  <c r="B92" i="11"/>
  <c r="C92" i="11" s="1"/>
  <c r="B2" i="16"/>
  <c r="A117" i="11"/>
  <c r="A45" i="11"/>
  <c r="A118" i="11"/>
  <c r="A46" i="11"/>
  <c r="A119" i="11"/>
  <c r="A47" i="11"/>
  <c r="K137" i="11"/>
  <c r="B138" i="11"/>
  <c r="C138" i="11" s="1"/>
  <c r="D138" i="11" s="1"/>
  <c r="E138" i="11" s="1"/>
  <c r="F138" i="11" s="1"/>
  <c r="G138" i="11" s="1"/>
  <c r="H138" i="11" s="1"/>
  <c r="I138" i="11" s="1"/>
  <c r="J138" i="11" s="1"/>
  <c r="K138" i="11" s="1"/>
  <c r="L138" i="11" s="1"/>
  <c r="M138" i="11" s="1"/>
  <c r="N138" i="11" s="1"/>
  <c r="O138" i="11" s="1"/>
  <c r="A171" i="11"/>
  <c r="A172" i="11"/>
  <c r="A173" i="11"/>
  <c r="O175" i="11"/>
  <c r="O181" i="11"/>
  <c r="K189" i="11"/>
  <c r="B190" i="11"/>
  <c r="C190" i="11" s="1"/>
  <c r="D190" i="11" s="1"/>
  <c r="E190" i="11" s="1"/>
  <c r="F190" i="11" s="1"/>
  <c r="G190" i="11" s="1"/>
  <c r="H190" i="11" s="1"/>
  <c r="I190" i="11" s="1"/>
  <c r="J190" i="11"/>
  <c r="K190" i="11" s="1"/>
  <c r="L190" i="11" s="1"/>
  <c r="M190" i="11" s="1"/>
  <c r="N190" i="11" s="1"/>
  <c r="O190" i="11" s="1"/>
  <c r="A197" i="11"/>
  <c r="K204" i="11"/>
  <c r="B205" i="11"/>
  <c r="C205" i="11" s="1"/>
  <c r="D205" i="11" s="1"/>
  <c r="B208" i="11"/>
  <c r="B120" i="11"/>
  <c r="B48" i="11" s="1"/>
  <c r="C208" i="11"/>
  <c r="C120" i="11"/>
  <c r="C48" i="11" s="1"/>
  <c r="D208" i="11"/>
  <c r="D120" i="11" s="1"/>
  <c r="E208" i="11"/>
  <c r="E120" i="11" s="1"/>
  <c r="E48" i="11" s="1"/>
  <c r="F208" i="11"/>
  <c r="F120" i="11"/>
  <c r="F48" i="11" s="1"/>
  <c r="G208" i="11"/>
  <c r="G120" i="11" s="1"/>
  <c r="G48" i="11" s="1"/>
  <c r="H208" i="11"/>
  <c r="H120" i="11"/>
  <c r="H48" i="11" s="1"/>
  <c r="I208" i="11"/>
  <c r="I120" i="11" s="1"/>
  <c r="I48" i="11" s="1"/>
  <c r="J208" i="11"/>
  <c r="J120" i="11"/>
  <c r="J48" i="11" s="1"/>
  <c r="K208" i="11"/>
  <c r="K120" i="11" s="1"/>
  <c r="K48" i="11" s="1"/>
  <c r="L208" i="11"/>
  <c r="L120" i="11" s="1"/>
  <c r="L48" i="11" s="1"/>
  <c r="M208" i="11"/>
  <c r="N208" i="11"/>
  <c r="N120" i="11"/>
  <c r="N48" i="11" s="1"/>
  <c r="O208" i="11"/>
  <c r="O120" i="11" s="1"/>
  <c r="O48" i="11"/>
  <c r="O209" i="11"/>
  <c r="B210" i="11"/>
  <c r="C210" i="11"/>
  <c r="D210" i="11"/>
  <c r="E210" i="11"/>
  <c r="F210" i="11"/>
  <c r="G210" i="11"/>
  <c r="H210" i="11"/>
  <c r="I210" i="11"/>
  <c r="J210" i="11"/>
  <c r="K210" i="11"/>
  <c r="L210" i="11"/>
  <c r="M210" i="11"/>
  <c r="N210" i="11"/>
  <c r="O210" i="11"/>
  <c r="B211" i="11"/>
  <c r="C211" i="11"/>
  <c r="D211" i="11"/>
  <c r="E211" i="11"/>
  <c r="F211" i="11"/>
  <c r="G211" i="11"/>
  <c r="H211" i="11"/>
  <c r="I211" i="11"/>
  <c r="J211" i="11"/>
  <c r="K211" i="11"/>
  <c r="L211" i="11"/>
  <c r="M211" i="11"/>
  <c r="N211" i="11"/>
  <c r="O211" i="11"/>
  <c r="B212" i="11"/>
  <c r="B213" i="11" s="1"/>
  <c r="C212" i="11"/>
  <c r="D212" i="11"/>
  <c r="E212" i="11"/>
  <c r="F212" i="11"/>
  <c r="G212" i="11"/>
  <c r="H212" i="11"/>
  <c r="I212" i="11"/>
  <c r="J212" i="11"/>
  <c r="K212" i="11"/>
  <c r="L212" i="11"/>
  <c r="M212" i="11"/>
  <c r="N212" i="11"/>
  <c r="O212" i="11"/>
  <c r="A214" i="11"/>
  <c r="B215" i="11"/>
  <c r="G216" i="11"/>
  <c r="H216" i="11"/>
  <c r="H117" i="11"/>
  <c r="H45" i="11" s="1"/>
  <c r="I216" i="11"/>
  <c r="I117" i="11"/>
  <c r="I45" i="11" s="1"/>
  <c r="J216" i="11"/>
  <c r="K216" i="11"/>
  <c r="K117" i="11"/>
  <c r="K45" i="11" s="1"/>
  <c r="L216" i="11"/>
  <c r="M216" i="11"/>
  <c r="M117" i="11" s="1"/>
  <c r="M45" i="11"/>
  <c r="N216" i="11"/>
  <c r="N117" i="11"/>
  <c r="N45" i="11" s="1"/>
  <c r="O216" i="11"/>
  <c r="A222" i="11"/>
  <c r="B223" i="11"/>
  <c r="H224" i="11"/>
  <c r="H118" i="11" s="1"/>
  <c r="I224" i="11"/>
  <c r="K224" i="11"/>
  <c r="K118" i="11"/>
  <c r="K46" i="11" s="1"/>
  <c r="L224" i="11"/>
  <c r="M224" i="11"/>
  <c r="M118" i="11"/>
  <c r="M46" i="11" s="1"/>
  <c r="N224" i="11"/>
  <c r="O224" i="11"/>
  <c r="O118" i="11"/>
  <c r="O46" i="11" s="1"/>
  <c r="A230" i="11"/>
  <c r="B231" i="11"/>
  <c r="B239" i="11" s="1"/>
  <c r="B232" i="11"/>
  <c r="C232" i="11"/>
  <c r="C119" i="11"/>
  <c r="C47" i="11" s="1"/>
  <c r="D232" i="11"/>
  <c r="E232" i="11"/>
  <c r="E119" i="11"/>
  <c r="E47" i="11" s="1"/>
  <c r="F232" i="11"/>
  <c r="F119" i="11" s="1"/>
  <c r="F47" i="11" s="1"/>
  <c r="G232" i="11"/>
  <c r="G119" i="11" s="1"/>
  <c r="G47" i="11" s="1"/>
  <c r="H232" i="11"/>
  <c r="I232" i="11"/>
  <c r="I119" i="11" s="1"/>
  <c r="I47" i="11"/>
  <c r="J232" i="11"/>
  <c r="J119" i="11"/>
  <c r="J47" i="11" s="1"/>
  <c r="K232" i="11"/>
  <c r="L232" i="11"/>
  <c r="L119" i="11" s="1"/>
  <c r="L47" i="11" s="1"/>
  <c r="M232" i="11"/>
  <c r="M119" i="11" s="1"/>
  <c r="M47" i="11"/>
  <c r="N232" i="11"/>
  <c r="N119" i="11" s="1"/>
  <c r="N47" i="11" s="1"/>
  <c r="O232" i="11"/>
  <c r="O119" i="11" s="1"/>
  <c r="O47" i="11" s="1"/>
  <c r="K250" i="11"/>
  <c r="B251" i="11"/>
  <c r="C251" i="11"/>
  <c r="D251" i="11" s="1"/>
  <c r="E251" i="11" s="1"/>
  <c r="F251" i="11" s="1"/>
  <c r="G251" i="11" s="1"/>
  <c r="H251" i="11" s="1"/>
  <c r="I251" i="11" s="1"/>
  <c r="J251" i="11" s="1"/>
  <c r="K251" i="11" s="1"/>
  <c r="L251" i="11" s="1"/>
  <c r="M251" i="11" s="1"/>
  <c r="N251" i="11" s="1"/>
  <c r="O251" i="11" s="1"/>
  <c r="A253" i="11"/>
  <c r="B254" i="11"/>
  <c r="B98" i="11" s="1"/>
  <c r="A258" i="11"/>
  <c r="B259" i="11"/>
  <c r="A264" i="11"/>
  <c r="B265" i="11"/>
  <c r="A269" i="11"/>
  <c r="B270" i="11"/>
  <c r="B61" i="11" s="1"/>
  <c r="A274" i="11"/>
  <c r="B275" i="11"/>
  <c r="A279" i="11"/>
  <c r="B280" i="11"/>
  <c r="B282" i="11" s="1"/>
  <c r="A284" i="11"/>
  <c r="B285" i="11"/>
  <c r="A290" i="11"/>
  <c r="B291" i="11"/>
  <c r="J292" i="11"/>
  <c r="K292" i="11"/>
  <c r="L292" i="11"/>
  <c r="M292" i="11"/>
  <c r="N292" i="11"/>
  <c r="O292" i="11"/>
  <c r="C293" i="11"/>
  <c r="C286" i="11" s="1"/>
  <c r="E293" i="11"/>
  <c r="E286" i="11" s="1"/>
  <c r="J293" i="11"/>
  <c r="J286" i="11" s="1"/>
  <c r="K293" i="11"/>
  <c r="K286" i="11" s="1"/>
  <c r="L293" i="11"/>
  <c r="L286" i="11" s="1"/>
  <c r="M293" i="11"/>
  <c r="M286" i="11" s="1"/>
  <c r="N293" i="11"/>
  <c r="N286" i="11" s="1"/>
  <c r="O293" i="11"/>
  <c r="O286" i="11" s="1"/>
  <c r="A296" i="11"/>
  <c r="B297" i="11"/>
  <c r="B298" i="11"/>
  <c r="A302" i="11"/>
  <c r="B303" i="11"/>
  <c r="A313" i="11"/>
  <c r="B314" i="11"/>
  <c r="A321" i="11"/>
  <c r="B322" i="11"/>
  <c r="J163" i="11" s="1"/>
  <c r="A326" i="11"/>
  <c r="B327" i="11"/>
  <c r="B332" i="11"/>
  <c r="K333" i="11"/>
  <c r="K116" i="11" s="1"/>
  <c r="L333" i="11"/>
  <c r="L116" i="11" s="1"/>
  <c r="L44" i="11" s="1"/>
  <c r="M333" i="11"/>
  <c r="M116" i="11" s="1"/>
  <c r="N333" i="11"/>
  <c r="N116" i="11" s="1"/>
  <c r="N44" i="11" s="1"/>
  <c r="O333" i="11"/>
  <c r="O116" i="11"/>
  <c r="A336" i="11"/>
  <c r="B337" i="11"/>
  <c r="A3" i="9"/>
  <c r="G224" i="11"/>
  <c r="G118" i="11"/>
  <c r="G46" i="11" s="1"/>
  <c r="E15" i="9"/>
  <c r="B19" i="9"/>
  <c r="E21" i="9"/>
  <c r="B22" i="9"/>
  <c r="C22" i="9"/>
  <c r="D22" i="9" s="1"/>
  <c r="E22" i="9" s="1"/>
  <c r="F22" i="9" s="1"/>
  <c r="G22" i="9" s="1"/>
  <c r="H22" i="9" s="1"/>
  <c r="I22" i="9" s="1"/>
  <c r="A25" i="9"/>
  <c r="A29" i="9"/>
  <c r="B34" i="9"/>
  <c r="B39" i="9" s="1"/>
  <c r="C33" i="9" s="1"/>
  <c r="C39" i="9" s="1"/>
  <c r="D33" i="9" s="1"/>
  <c r="D39" i="9" s="1"/>
  <c r="E33" i="9" s="1"/>
  <c r="E39" i="9" s="1"/>
  <c r="F33" i="9" s="1"/>
  <c r="F39" i="9" s="1"/>
  <c r="G33" i="9" s="1"/>
  <c r="G39" i="9" s="1"/>
  <c r="H33" i="9" s="1"/>
  <c r="H39" i="9" s="1"/>
  <c r="I33" i="9" s="1"/>
  <c r="I39" i="9" s="1"/>
  <c r="J33" i="9" s="1"/>
  <c r="J39" i="9" s="1"/>
  <c r="K33" i="9" s="1"/>
  <c r="K39" i="9" s="1"/>
  <c r="L33" i="9" s="1"/>
  <c r="L39" i="9" s="1"/>
  <c r="M33" i="9" s="1"/>
  <c r="M39" i="9" s="1"/>
  <c r="N33" i="9" s="1"/>
  <c r="N39" i="9" s="1"/>
  <c r="C34" i="9"/>
  <c r="D34" i="9"/>
  <c r="E34" i="9"/>
  <c r="F34" i="9"/>
  <c r="G34" i="9"/>
  <c r="H34" i="9"/>
  <c r="I34" i="9"/>
  <c r="J34" i="9"/>
  <c r="K34" i="9"/>
  <c r="L34" i="9"/>
  <c r="M34" i="9"/>
  <c r="N34" i="9"/>
  <c r="B35" i="9"/>
  <c r="B209" i="11" s="1"/>
  <c r="C35" i="9"/>
  <c r="C209" i="11" s="1"/>
  <c r="D35" i="9"/>
  <c r="D209" i="11" s="1"/>
  <c r="E35" i="9"/>
  <c r="E209" i="11" s="1"/>
  <c r="F35" i="9"/>
  <c r="F209" i="11" s="1"/>
  <c r="G35" i="9"/>
  <c r="G209" i="11" s="1"/>
  <c r="H35" i="9"/>
  <c r="H209" i="11" s="1"/>
  <c r="I35" i="9"/>
  <c r="I209" i="11" s="1"/>
  <c r="J35" i="9"/>
  <c r="J209" i="11" s="1"/>
  <c r="K35" i="9"/>
  <c r="K209" i="11" s="1"/>
  <c r="L35" i="9"/>
  <c r="L209" i="11" s="1"/>
  <c r="M35" i="9"/>
  <c r="M209" i="11" s="1"/>
  <c r="N35" i="9"/>
  <c r="N209" i="11" s="1"/>
  <c r="B50" i="9"/>
  <c r="O219" i="11" s="1"/>
  <c r="O218" i="11" s="1"/>
  <c r="C50" i="9"/>
  <c r="D50" i="9"/>
  <c r="G9" i="3"/>
  <c r="H9" i="3"/>
  <c r="I9" i="3"/>
  <c r="J9" i="3"/>
  <c r="K9" i="3"/>
  <c r="L9" i="3"/>
  <c r="G15" i="3"/>
  <c r="H15" i="3"/>
  <c r="I15" i="3"/>
  <c r="J15" i="3"/>
  <c r="P15" i="3"/>
  <c r="G17" i="3"/>
  <c r="H17" i="3"/>
  <c r="I17" i="3"/>
  <c r="J17" i="3"/>
  <c r="M19" i="3" s="1"/>
  <c r="O19" i="3" s="1"/>
  <c r="K17" i="3"/>
  <c r="L17" i="3"/>
  <c r="G23" i="3"/>
  <c r="H23" i="3"/>
  <c r="I23" i="3"/>
  <c r="I24" i="3"/>
  <c r="J23" i="3"/>
  <c r="J24" i="3" s="1"/>
  <c r="K23" i="3"/>
  <c r="K24" i="3" s="1"/>
  <c r="L23" i="3"/>
  <c r="P23" i="3"/>
  <c r="E24" i="3"/>
  <c r="F21" i="3" s="1"/>
  <c r="L24" i="3"/>
  <c r="F12" i="3"/>
  <c r="K163" i="11"/>
  <c r="G338" i="11"/>
  <c r="H338" i="11"/>
  <c r="I338" i="11"/>
  <c r="J338" i="11"/>
  <c r="K338" i="11"/>
  <c r="L338" i="11"/>
  <c r="M338" i="11"/>
  <c r="N338" i="11"/>
  <c r="O338" i="11"/>
  <c r="B5" i="9"/>
  <c r="B13" i="4"/>
  <c r="L163" i="11"/>
  <c r="J224" i="11"/>
  <c r="J333" i="11"/>
  <c r="J116" i="11" s="1"/>
  <c r="J44" i="11" s="1"/>
  <c r="M163" i="11"/>
  <c r="M44" i="11"/>
  <c r="J118" i="11"/>
  <c r="J46" i="11" s="1"/>
  <c r="A1" i="14"/>
  <c r="A88" i="11"/>
  <c r="A1" i="11"/>
  <c r="A1" i="9"/>
  <c r="A247" i="11"/>
  <c r="A186" i="11"/>
  <c r="A1" i="4"/>
  <c r="B2" i="3"/>
  <c r="A201" i="11"/>
  <c r="B2" i="1"/>
  <c r="A9" i="12"/>
  <c r="H240" i="11"/>
  <c r="H119" i="11"/>
  <c r="H47" i="11" s="1"/>
  <c r="H44" i="11"/>
  <c r="F11" i="9"/>
  <c r="J117" i="11"/>
  <c r="J45" i="11" s="1"/>
  <c r="J240" i="11"/>
  <c r="C207" i="11"/>
  <c r="B170" i="11"/>
  <c r="D7" i="9"/>
  <c r="B196" i="11"/>
  <c r="D48" i="11"/>
  <c r="C297" i="11"/>
  <c r="C298" i="11" s="1"/>
  <c r="B148" i="11"/>
  <c r="O117" i="11"/>
  <c r="O45" i="11"/>
  <c r="O240" i="11"/>
  <c r="L117" i="11"/>
  <c r="M120" i="11"/>
  <c r="M48" i="11" s="1"/>
  <c r="F10" i="3"/>
  <c r="M10" i="3"/>
  <c r="F11" i="3"/>
  <c r="O44" i="11"/>
  <c r="B195" i="11"/>
  <c r="L45" i="11"/>
  <c r="C2" i="16" l="1"/>
  <c r="D92" i="11"/>
  <c r="C5" i="9"/>
  <c r="D55" i="11"/>
  <c r="D5" i="9" s="1"/>
  <c r="H46" i="11"/>
  <c r="H122" i="11"/>
  <c r="O122" i="11"/>
  <c r="B194" i="11"/>
  <c r="J122" i="11"/>
  <c r="G24" i="3"/>
  <c r="B191" i="11"/>
  <c r="E55" i="11"/>
  <c r="E5" i="9" s="1"/>
  <c r="B28" i="14"/>
  <c r="P24" i="3"/>
  <c r="M240" i="11"/>
  <c r="B71" i="11"/>
  <c r="F4" i="17"/>
  <c r="F15" i="17" s="1"/>
  <c r="F27" i="17" s="1"/>
  <c r="F36" i="17" s="1"/>
  <c r="H24" i="3"/>
  <c r="B197" i="11"/>
  <c r="B17" i="14"/>
  <c r="L20" i="17"/>
  <c r="G13" i="9"/>
  <c r="I13" i="9"/>
  <c r="L23" i="17"/>
  <c r="B11" i="14"/>
  <c r="B12" i="14" s="1"/>
  <c r="B60" i="11" s="1"/>
  <c r="C5" i="14"/>
  <c r="D5" i="14" s="1"/>
  <c r="D26" i="11" s="1"/>
  <c r="B7" i="9"/>
  <c r="B192" i="11" s="1"/>
  <c r="F24" i="17"/>
  <c r="D163" i="11"/>
  <c r="G163" i="11"/>
  <c r="C213" i="11"/>
  <c r="O217" i="11"/>
  <c r="F240" i="11"/>
  <c r="H13" i="9"/>
  <c r="L18" i="17"/>
  <c r="C26" i="11"/>
  <c r="B44" i="11"/>
  <c r="D297" i="11"/>
  <c r="D298" i="11" s="1"/>
  <c r="C148" i="11"/>
  <c r="G4" i="17"/>
  <c r="G15" i="17" s="1"/>
  <c r="G27" i="17" s="1"/>
  <c r="G36" i="17" s="1"/>
  <c r="C28" i="14"/>
  <c r="D3" i="14"/>
  <c r="B8" i="9"/>
  <c r="D8" i="9"/>
  <c r="H24" i="17"/>
  <c r="F8" i="9"/>
  <c r="J24" i="17"/>
  <c r="C9" i="9"/>
  <c r="L21" i="17"/>
  <c r="B17" i="4"/>
  <c r="C17" i="4" s="1"/>
  <c r="D17" i="4" s="1"/>
  <c r="E17" i="4" s="1"/>
  <c r="F17" i="4" s="1"/>
  <c r="B25" i="4"/>
  <c r="C19" i="14"/>
  <c r="I44" i="11"/>
  <c r="F44" i="11"/>
  <c r="F122" i="11"/>
  <c r="C45" i="11"/>
  <c r="D45" i="11"/>
  <c r="D122" i="11"/>
  <c r="C240" i="11"/>
  <c r="C118" i="11"/>
  <c r="C46" i="11" s="1"/>
  <c r="C51" i="9"/>
  <c r="C52" i="9" s="1"/>
  <c r="E117" i="11"/>
  <c r="E240" i="11"/>
  <c r="B51" i="9"/>
  <c r="B52" i="9" s="1"/>
  <c r="F13" i="9"/>
  <c r="N19" i="3"/>
  <c r="O10" i="3"/>
  <c r="M122" i="11"/>
  <c r="K44" i="11"/>
  <c r="B334" i="11"/>
  <c r="C280" i="11"/>
  <c r="C282" i="11" s="1"/>
  <c r="B141" i="11"/>
  <c r="B119" i="11"/>
  <c r="B47" i="11" s="1"/>
  <c r="B240" i="11"/>
  <c r="D51" i="9"/>
  <c r="D52" i="9" s="1"/>
  <c r="B236" i="11" s="1"/>
  <c r="B237" i="11" s="1"/>
  <c r="L118" i="11"/>
  <c r="L46" i="11" s="1"/>
  <c r="L240" i="11"/>
  <c r="L122" i="11"/>
  <c r="E205" i="11"/>
  <c r="M11" i="3"/>
  <c r="M24" i="3"/>
  <c r="N10" i="3" s="1"/>
  <c r="F20" i="3"/>
  <c r="F13" i="3"/>
  <c r="F15" i="3" s="1"/>
  <c r="F19" i="3"/>
  <c r="M13" i="3"/>
  <c r="F18" i="3"/>
  <c r="F23" i="3" s="1"/>
  <c r="M12" i="3"/>
  <c r="M21" i="3"/>
  <c r="M18" i="3"/>
  <c r="M20" i="3"/>
  <c r="D119" i="11"/>
  <c r="D47" i="11" s="1"/>
  <c r="D240" i="11"/>
  <c r="N118" i="11"/>
  <c r="N240" i="11"/>
  <c r="I118" i="11"/>
  <c r="I46" i="11" s="1"/>
  <c r="I240" i="11"/>
  <c r="G117" i="11"/>
  <c r="G45" i="11" s="1"/>
  <c r="G240" i="11"/>
  <c r="E92" i="11"/>
  <c r="D2" i="16"/>
  <c r="C163" i="11"/>
  <c r="B163" i="11"/>
  <c r="O163" i="11"/>
  <c r="I163" i="11"/>
  <c r="E163" i="11"/>
  <c r="N163" i="11"/>
  <c r="H163" i="11"/>
  <c r="F163" i="11"/>
  <c r="K119" i="11"/>
  <c r="K47" i="11" s="1"/>
  <c r="K240" i="11"/>
  <c r="C6" i="9"/>
  <c r="G24" i="17"/>
  <c r="E6" i="9"/>
  <c r="I24" i="17"/>
  <c r="B26" i="14"/>
  <c r="B338" i="11"/>
  <c r="B339" i="11" s="1"/>
  <c r="C12" i="4"/>
  <c r="B11" i="11"/>
  <c r="L19" i="17"/>
  <c r="F24" i="3" l="1"/>
  <c r="F55" i="11"/>
  <c r="I122" i="11"/>
  <c r="C17" i="14"/>
  <c r="D17" i="14" s="1"/>
  <c r="E17" i="14" s="1"/>
  <c r="F17" i="14" s="1"/>
  <c r="G17" i="14" s="1"/>
  <c r="H17" i="14" s="1"/>
  <c r="I17" i="14" s="1"/>
  <c r="J17" i="14" s="1"/>
  <c r="K17" i="14" s="1"/>
  <c r="L17" i="14" s="1"/>
  <c r="M17" i="14" s="1"/>
  <c r="N17" i="14" s="1"/>
  <c r="O17" i="14" s="1"/>
  <c r="B20" i="14"/>
  <c r="B21" i="14" s="1"/>
  <c r="B22" i="14" s="1"/>
  <c r="B31" i="14" s="1"/>
  <c r="E5" i="14"/>
  <c r="E26" i="11" s="1"/>
  <c r="B13" i="14"/>
  <c r="C11" i="14"/>
  <c r="C12" i="14" s="1"/>
  <c r="L24" i="17"/>
  <c r="D207" i="11"/>
  <c r="D213" i="11" s="1"/>
  <c r="C170" i="11"/>
  <c r="C337" i="11"/>
  <c r="C339" i="11" s="1"/>
  <c r="B180" i="11"/>
  <c r="B40" i="14"/>
  <c r="C26" i="14"/>
  <c r="B59" i="14"/>
  <c r="B74" i="11" s="1"/>
  <c r="B22" i="11"/>
  <c r="E13" i="9"/>
  <c r="C13" i="9"/>
  <c r="F92" i="11"/>
  <c r="E2" i="16"/>
  <c r="O20" i="3"/>
  <c r="N20" i="3"/>
  <c r="O21" i="3"/>
  <c r="N21" i="3"/>
  <c r="O11" i="3"/>
  <c r="N11" i="3"/>
  <c r="M15" i="3"/>
  <c r="F205" i="11"/>
  <c r="B165" i="11"/>
  <c r="C332" i="11"/>
  <c r="C334" i="11" s="1"/>
  <c r="B220" i="11"/>
  <c r="E45" i="11"/>
  <c r="E122" i="11"/>
  <c r="C122" i="11"/>
  <c r="B73" i="11"/>
  <c r="B260" i="11" s="1"/>
  <c r="C25" i="4"/>
  <c r="B13" i="9"/>
  <c r="B193" i="11"/>
  <c r="B199" i="11" s="1"/>
  <c r="C11" i="11"/>
  <c r="C13" i="4"/>
  <c r="D12" i="4"/>
  <c r="D13" i="4"/>
  <c r="N46" i="11"/>
  <c r="N122" i="11"/>
  <c r="M23" i="3"/>
  <c r="N18" i="3"/>
  <c r="O18" i="3"/>
  <c r="N12" i="3"/>
  <c r="O12" i="3"/>
  <c r="N13" i="3"/>
  <c r="O13" i="3"/>
  <c r="O24" i="3"/>
  <c r="N24" i="3"/>
  <c r="F5" i="9"/>
  <c r="G55" i="11"/>
  <c r="B173" i="11"/>
  <c r="C231" i="11"/>
  <c r="B235" i="11"/>
  <c r="B233" i="11" s="1"/>
  <c r="D280" i="11"/>
  <c r="D282" i="11" s="1"/>
  <c r="C141" i="11"/>
  <c r="K122" i="11"/>
  <c r="G122" i="11"/>
  <c r="D13" i="9"/>
  <c r="B228" i="11"/>
  <c r="B229" i="11" s="1"/>
  <c r="D19" i="14"/>
  <c r="D28" i="14"/>
  <c r="H4" i="17"/>
  <c r="H15" i="17" s="1"/>
  <c r="H27" i="17" s="1"/>
  <c r="H36" i="17" s="1"/>
  <c r="E3" i="14"/>
  <c r="E297" i="11"/>
  <c r="E298" i="11" s="1"/>
  <c r="D148" i="11"/>
  <c r="B122" i="11"/>
  <c r="B25" i="14" l="1"/>
  <c r="B27" i="11" s="1"/>
  <c r="C20" i="14"/>
  <c r="C21" i="14" s="1"/>
  <c r="C22" i="14" s="1"/>
  <c r="C31" i="14" s="1"/>
  <c r="F5" i="14"/>
  <c r="D11" i="14"/>
  <c r="D12" i="14" s="1"/>
  <c r="B35" i="14"/>
  <c r="B67" i="11" s="1"/>
  <c r="B23" i="14"/>
  <c r="B25" i="11" s="1"/>
  <c r="C25" i="14"/>
  <c r="C27" i="11" s="1"/>
  <c r="D170" i="11"/>
  <c r="E207" i="11"/>
  <c r="E213" i="11" s="1"/>
  <c r="F12" i="17"/>
  <c r="G5" i="14"/>
  <c r="F26" i="11"/>
  <c r="F3" i="14"/>
  <c r="E28" i="14"/>
  <c r="I4" i="17"/>
  <c r="I15" i="17" s="1"/>
  <c r="I27" i="17" s="1"/>
  <c r="I36" i="17" s="1"/>
  <c r="E280" i="11"/>
  <c r="E282" i="11" s="1"/>
  <c r="D141" i="11"/>
  <c r="C236" i="11"/>
  <c r="C237" i="11" s="1"/>
  <c r="H55" i="11"/>
  <c r="G5" i="9"/>
  <c r="N23" i="3"/>
  <c r="O23" i="3"/>
  <c r="D197" i="11"/>
  <c r="D194" i="11"/>
  <c r="D191" i="11"/>
  <c r="D196" i="11"/>
  <c r="D192" i="11"/>
  <c r="D195" i="11"/>
  <c r="D69" i="11"/>
  <c r="D71" i="11"/>
  <c r="C195" i="11"/>
  <c r="C69" i="11"/>
  <c r="C193" i="11"/>
  <c r="C196" i="11"/>
  <c r="C192" i="11"/>
  <c r="C71" i="11"/>
  <c r="C197" i="11"/>
  <c r="B109" i="11"/>
  <c r="B16" i="9"/>
  <c r="D193" i="11"/>
  <c r="C194" i="11"/>
  <c r="B244" i="11"/>
  <c r="B104" i="11" s="1"/>
  <c r="B221" i="11"/>
  <c r="D13" i="14"/>
  <c r="D60" i="11"/>
  <c r="D332" i="11"/>
  <c r="D334" i="11" s="1"/>
  <c r="C165" i="11"/>
  <c r="O15" i="3"/>
  <c r="N15" i="3"/>
  <c r="F2" i="16"/>
  <c r="G92" i="11"/>
  <c r="C191" i="11"/>
  <c r="C40" i="14"/>
  <c r="D26" i="14"/>
  <c r="D20" i="14"/>
  <c r="D21" i="14" s="1"/>
  <c r="D22" i="14" s="1"/>
  <c r="C22" i="11"/>
  <c r="C59" i="14"/>
  <c r="C74" i="11" s="1"/>
  <c r="E148" i="11"/>
  <c r="F297" i="11"/>
  <c r="F298" i="11" s="1"/>
  <c r="E19" i="14"/>
  <c r="C223" i="11"/>
  <c r="B172" i="11"/>
  <c r="B227" i="11"/>
  <c r="B24" i="14"/>
  <c r="B68" i="11"/>
  <c r="E12" i="4"/>
  <c r="E13" i="4" s="1"/>
  <c r="D11" i="11"/>
  <c r="D25" i="4"/>
  <c r="C60" i="11"/>
  <c r="C13" i="14"/>
  <c r="E11" i="14"/>
  <c r="G205" i="11"/>
  <c r="C23" i="14"/>
  <c r="C35" i="14"/>
  <c r="C67" i="11" s="1"/>
  <c r="D337" i="11"/>
  <c r="D339" i="11" s="1"/>
  <c r="C180" i="11"/>
  <c r="G12" i="17" l="1"/>
  <c r="D25" i="14"/>
  <c r="H12" i="17" s="1"/>
  <c r="E170" i="11"/>
  <c r="F207" i="11"/>
  <c r="F213" i="11" s="1"/>
  <c r="C199" i="11"/>
  <c r="C109" i="11" s="1"/>
  <c r="H5" i="14"/>
  <c r="G26" i="11"/>
  <c r="C173" i="11"/>
  <c r="D231" i="11"/>
  <c r="C235" i="11"/>
  <c r="C233" i="11" s="1"/>
  <c r="C68" i="11"/>
  <c r="C25" i="11"/>
  <c r="C24" i="14"/>
  <c r="H205" i="11"/>
  <c r="F11" i="14"/>
  <c r="E69" i="11"/>
  <c r="E196" i="11"/>
  <c r="E195" i="11"/>
  <c r="E71" i="11"/>
  <c r="E193" i="11"/>
  <c r="E197" i="11"/>
  <c r="E192" i="11"/>
  <c r="E194" i="11"/>
  <c r="E191" i="11"/>
  <c r="B226" i="11"/>
  <c r="B225" i="11" s="1"/>
  <c r="C228" i="11"/>
  <c r="C229" i="11" s="1"/>
  <c r="F19" i="14"/>
  <c r="D22" i="11"/>
  <c r="D40" i="14"/>
  <c r="D59" i="14"/>
  <c r="D74" i="11" s="1"/>
  <c r="E20" i="14"/>
  <c r="E21" i="14" s="1"/>
  <c r="E22" i="14" s="1"/>
  <c r="E26" i="14"/>
  <c r="D165" i="11"/>
  <c r="E332" i="11"/>
  <c r="E334" i="11" s="1"/>
  <c r="B40" i="11"/>
  <c r="E141" i="11"/>
  <c r="F280" i="11"/>
  <c r="F282" i="11" s="1"/>
  <c r="D180" i="11"/>
  <c r="E337" i="11"/>
  <c r="E339" i="11" s="1"/>
  <c r="E12" i="14"/>
  <c r="E25" i="4"/>
  <c r="F12" i="4"/>
  <c r="E11" i="11"/>
  <c r="F13" i="4"/>
  <c r="B58" i="11"/>
  <c r="B23" i="11"/>
  <c r="D27" i="11"/>
  <c r="G297" i="11"/>
  <c r="G298" i="11" s="1"/>
  <c r="F148" i="11"/>
  <c r="D31" i="14"/>
  <c r="D23" i="14"/>
  <c r="D35" i="14"/>
  <c r="D67" i="11" s="1"/>
  <c r="G2" i="16"/>
  <c r="H92" i="11"/>
  <c r="C215" i="11"/>
  <c r="B245" i="11"/>
  <c r="B171" i="11"/>
  <c r="B219" i="11"/>
  <c r="B23" i="9"/>
  <c r="B30" i="9" s="1"/>
  <c r="B17" i="9"/>
  <c r="B292" i="11"/>
  <c r="D199" i="11"/>
  <c r="I55" i="11"/>
  <c r="H5" i="9"/>
  <c r="G3" i="14"/>
  <c r="F28" i="14"/>
  <c r="J4" i="17"/>
  <c r="J15" i="17" s="1"/>
  <c r="J27" i="17" s="1"/>
  <c r="J36" i="17" s="1"/>
  <c r="C16" i="9" l="1"/>
  <c r="F170" i="11"/>
  <c r="G207" i="11"/>
  <c r="G213" i="11" s="1"/>
  <c r="I5" i="14"/>
  <c r="H26" i="11"/>
  <c r="D223" i="11"/>
  <c r="C172" i="11"/>
  <c r="C227" i="11"/>
  <c r="G28" i="14"/>
  <c r="H3" i="14"/>
  <c r="J55" i="11"/>
  <c r="K55" i="11" s="1"/>
  <c r="L55" i="11" s="1"/>
  <c r="M55" i="11" s="1"/>
  <c r="N55" i="11" s="1"/>
  <c r="O55" i="11" s="1"/>
  <c r="I5" i="9"/>
  <c r="B293" i="11"/>
  <c r="B286" i="11" s="1"/>
  <c r="B288" i="11" s="1"/>
  <c r="B243" i="11"/>
  <c r="B218" i="11"/>
  <c r="B242" i="11" s="1"/>
  <c r="B310" i="11" s="1"/>
  <c r="I92" i="11"/>
  <c r="H2" i="16"/>
  <c r="D68" i="11"/>
  <c r="H297" i="11"/>
  <c r="H298" i="11" s="1"/>
  <c r="G148" i="11"/>
  <c r="B261" i="11"/>
  <c r="B59" i="11"/>
  <c r="B13" i="11"/>
  <c r="B62" i="11"/>
  <c r="B63" i="11" s="1"/>
  <c r="E60" i="11"/>
  <c r="E13" i="14"/>
  <c r="C292" i="11"/>
  <c r="C23" i="9"/>
  <c r="C30" i="9" s="1"/>
  <c r="E31" i="14"/>
  <c r="E35" i="14"/>
  <c r="E67" i="11" s="1"/>
  <c r="E23" i="14"/>
  <c r="G19" i="14"/>
  <c r="G11" i="14"/>
  <c r="G12" i="14" s="1"/>
  <c r="C23" i="11"/>
  <c r="C58" i="11"/>
  <c r="D236" i="11"/>
  <c r="D237" i="11" s="1"/>
  <c r="D109" i="11"/>
  <c r="D16" i="9"/>
  <c r="C239" i="11"/>
  <c r="C220" i="11"/>
  <c r="C244" i="11" s="1"/>
  <c r="D24" i="14"/>
  <c r="D25" i="11"/>
  <c r="F191" i="11"/>
  <c r="F195" i="11"/>
  <c r="F196" i="11"/>
  <c r="F197" i="11"/>
  <c r="F194" i="11"/>
  <c r="F71" i="11"/>
  <c r="F192" i="11"/>
  <c r="F69" i="11"/>
  <c r="F193" i="11"/>
  <c r="G12" i="4"/>
  <c r="F11" i="11"/>
  <c r="F25" i="4"/>
  <c r="E180" i="11"/>
  <c r="F337" i="11"/>
  <c r="F339" i="11" s="1"/>
  <c r="F141" i="11"/>
  <c r="G280" i="11"/>
  <c r="G282" i="11" s="1"/>
  <c r="E165" i="11"/>
  <c r="F332" i="11"/>
  <c r="F334" i="11" s="1"/>
  <c r="C40" i="11"/>
  <c r="E59" i="14"/>
  <c r="E74" i="11" s="1"/>
  <c r="E40" i="14"/>
  <c r="E22" i="11"/>
  <c r="F26" i="14"/>
  <c r="F20" i="14"/>
  <c r="F21" i="14" s="1"/>
  <c r="F22" i="14" s="1"/>
  <c r="E25" i="14"/>
  <c r="E199" i="11"/>
  <c r="F12" i="14"/>
  <c r="I205" i="11"/>
  <c r="F37" i="17" l="1"/>
  <c r="G170" i="11"/>
  <c r="H207" i="11"/>
  <c r="H213" i="11" s="1"/>
  <c r="I26" i="11"/>
  <c r="J5" i="14"/>
  <c r="E231" i="11"/>
  <c r="D173" i="11"/>
  <c r="D235" i="11"/>
  <c r="D233" i="11" s="1"/>
  <c r="J205" i="11"/>
  <c r="E16" i="9"/>
  <c r="E109" i="11"/>
  <c r="F35" i="14"/>
  <c r="F67" i="11" s="1"/>
  <c r="F23" i="14"/>
  <c r="F31" i="14"/>
  <c r="H12" i="4"/>
  <c r="G11" i="11"/>
  <c r="F199" i="11"/>
  <c r="D23" i="11"/>
  <c r="D58" i="11"/>
  <c r="D23" i="9"/>
  <c r="D30" i="9" s="1"/>
  <c r="D292" i="11"/>
  <c r="G13" i="14"/>
  <c r="G60" i="11"/>
  <c r="F25" i="14"/>
  <c r="D17" i="9"/>
  <c r="B154" i="11"/>
  <c r="B30" i="11" s="1"/>
  <c r="B262" i="11"/>
  <c r="C259" i="11"/>
  <c r="C73" i="11" s="1"/>
  <c r="C260" i="11" s="1"/>
  <c r="C261" i="11" s="1"/>
  <c r="I297" i="11"/>
  <c r="I298" i="11" s="1"/>
  <c r="H148" i="11"/>
  <c r="I2" i="16"/>
  <c r="J92" i="11"/>
  <c r="B304" i="11"/>
  <c r="C285" i="11"/>
  <c r="H28" i="14"/>
  <c r="I3" i="14"/>
  <c r="C226" i="11"/>
  <c r="C225" i="11" s="1"/>
  <c r="D228" i="11"/>
  <c r="D229" i="11" s="1"/>
  <c r="F13" i="14"/>
  <c r="F60" i="11"/>
  <c r="E27" i="11"/>
  <c r="I12" i="17"/>
  <c r="G26" i="14"/>
  <c r="F40" i="14"/>
  <c r="F59" i="14"/>
  <c r="F74" i="11" s="1"/>
  <c r="G20" i="14"/>
  <c r="G21" i="14" s="1"/>
  <c r="G22" i="14" s="1"/>
  <c r="F22" i="11"/>
  <c r="G332" i="11"/>
  <c r="G334" i="11" s="1"/>
  <c r="F165" i="11"/>
  <c r="H280" i="11"/>
  <c r="H282" i="11" s="1"/>
  <c r="G141" i="11"/>
  <c r="G337" i="11"/>
  <c r="G339" i="11" s="1"/>
  <c r="F180" i="11"/>
  <c r="G13" i="4"/>
  <c r="C104" i="11"/>
  <c r="B175" i="11"/>
  <c r="C221" i="11"/>
  <c r="B294" i="11"/>
  <c r="D40" i="11"/>
  <c r="C62" i="11"/>
  <c r="C59" i="11"/>
  <c r="C13" i="11"/>
  <c r="H11" i="14"/>
  <c r="H19" i="14"/>
  <c r="E24" i="14"/>
  <c r="E25" i="11"/>
  <c r="E68" i="11"/>
  <c r="B311" i="11"/>
  <c r="C309" i="11" s="1"/>
  <c r="B110" i="11"/>
  <c r="B217" i="11"/>
  <c r="B241" i="11" s="1"/>
  <c r="B80" i="11" s="1"/>
  <c r="B103" i="11" s="1"/>
  <c r="B105" i="11" s="1"/>
  <c r="I207" i="11" l="1"/>
  <c r="I213" i="11" s="1"/>
  <c r="H170" i="11"/>
  <c r="J26" i="11"/>
  <c r="K5" i="14"/>
  <c r="D172" i="11"/>
  <c r="E223" i="11"/>
  <c r="D227" i="11"/>
  <c r="E58" i="11"/>
  <c r="E23" i="11"/>
  <c r="I19" i="14"/>
  <c r="I11" i="14"/>
  <c r="D259" i="11"/>
  <c r="D73" i="11" s="1"/>
  <c r="D260" i="11" s="1"/>
  <c r="C154" i="11"/>
  <c r="C30" i="11" s="1"/>
  <c r="C262" i="11"/>
  <c r="C291" i="11"/>
  <c r="C294" i="11" s="1"/>
  <c r="B145" i="11"/>
  <c r="B176" i="11"/>
  <c r="B181" i="11"/>
  <c r="G196" i="11"/>
  <c r="G192" i="11"/>
  <c r="G191" i="11"/>
  <c r="G197" i="11"/>
  <c r="G69" i="11"/>
  <c r="G193" i="11"/>
  <c r="G194" i="11"/>
  <c r="G71" i="11"/>
  <c r="G195" i="11"/>
  <c r="H337" i="11"/>
  <c r="H339" i="11" s="1"/>
  <c r="G180" i="11"/>
  <c r="I280" i="11"/>
  <c r="I282" i="11" s="1"/>
  <c r="H141" i="11"/>
  <c r="H332" i="11"/>
  <c r="H334" i="11" s="1"/>
  <c r="G165" i="11"/>
  <c r="G35" i="14"/>
  <c r="G67" i="11" s="1"/>
  <c r="G23" i="14"/>
  <c r="G31" i="14"/>
  <c r="C288" i="11"/>
  <c r="K92" i="11"/>
  <c r="J2" i="16"/>
  <c r="I148" i="11"/>
  <c r="J297" i="11"/>
  <c r="J298" i="11" s="1"/>
  <c r="D293" i="11"/>
  <c r="D286" i="11" s="1"/>
  <c r="H11" i="11"/>
  <c r="I12" i="4"/>
  <c r="I13" i="4"/>
  <c r="F68" i="11"/>
  <c r="E292" i="11"/>
  <c r="E23" i="9"/>
  <c r="E30" i="9" s="1"/>
  <c r="K205" i="11"/>
  <c r="B41" i="11"/>
  <c r="B39" i="11" s="1"/>
  <c r="B43" i="11" s="1"/>
  <c r="B49" i="11" s="1"/>
  <c r="B111" i="11"/>
  <c r="G25" i="14"/>
  <c r="G27" i="11" s="1"/>
  <c r="H12" i="14"/>
  <c r="D215" i="11"/>
  <c r="C245" i="11"/>
  <c r="C171" i="11"/>
  <c r="C219" i="11"/>
  <c r="G40" i="14"/>
  <c r="H26" i="14"/>
  <c r="G59" i="14"/>
  <c r="G74" i="11" s="1"/>
  <c r="H20" i="14"/>
  <c r="H21" i="14" s="1"/>
  <c r="H22" i="14" s="1"/>
  <c r="G22" i="11"/>
  <c r="J3" i="14"/>
  <c r="I28" i="14"/>
  <c r="B142" i="11"/>
  <c r="B79" i="11"/>
  <c r="B306" i="11"/>
  <c r="F27" i="11"/>
  <c r="J12" i="17"/>
  <c r="D59" i="11"/>
  <c r="D62" i="11"/>
  <c r="D261" i="11"/>
  <c r="D13" i="11"/>
  <c r="F109" i="11"/>
  <c r="F16" i="9"/>
  <c r="H13" i="4"/>
  <c r="F25" i="11"/>
  <c r="F24" i="14"/>
  <c r="E40" i="11"/>
  <c r="E236" i="11"/>
  <c r="E237" i="11" s="1"/>
  <c r="J207" i="11" l="1"/>
  <c r="J213" i="11" s="1"/>
  <c r="I170" i="11"/>
  <c r="K26" i="11"/>
  <c r="L5" i="14"/>
  <c r="F231" i="11"/>
  <c r="E173" i="11"/>
  <c r="E235" i="11"/>
  <c r="E233" i="11" s="1"/>
  <c r="F17" i="9"/>
  <c r="F292" i="11"/>
  <c r="F23" i="9"/>
  <c r="F30" i="9" s="1"/>
  <c r="D154" i="11"/>
  <c r="D30" i="11" s="1"/>
  <c r="E259" i="11"/>
  <c r="E73" i="11" s="1"/>
  <c r="E260" i="11" s="1"/>
  <c r="E261" i="11" s="1"/>
  <c r="D262" i="11"/>
  <c r="B81" i="11"/>
  <c r="B96" i="11"/>
  <c r="D239" i="11"/>
  <c r="D220" i="11"/>
  <c r="D244" i="11" s="1"/>
  <c r="H13" i="14"/>
  <c r="H60" i="11"/>
  <c r="B4" i="16"/>
  <c r="I191" i="11"/>
  <c r="I197" i="11"/>
  <c r="I71" i="11"/>
  <c r="I192" i="11"/>
  <c r="I195" i="11"/>
  <c r="I196" i="11"/>
  <c r="I193" i="11"/>
  <c r="I194" i="11"/>
  <c r="I69" i="11"/>
  <c r="K297" i="11"/>
  <c r="K298" i="11" s="1"/>
  <c r="J148" i="11"/>
  <c r="D285" i="11"/>
  <c r="G68" i="11"/>
  <c r="I332" i="11"/>
  <c r="I334" i="11" s="1"/>
  <c r="H165" i="11"/>
  <c r="J280" i="11"/>
  <c r="J282" i="11" s="1"/>
  <c r="I141" i="11"/>
  <c r="H180" i="11"/>
  <c r="I337" i="11"/>
  <c r="I339" i="11" s="1"/>
  <c r="J11" i="14"/>
  <c r="J12" i="14" s="1"/>
  <c r="J19" i="14"/>
  <c r="E62" i="11"/>
  <c r="E13" i="11"/>
  <c r="E59" i="11"/>
  <c r="D226" i="11"/>
  <c r="D225" i="11" s="1"/>
  <c r="F58" i="11"/>
  <c r="F23" i="11"/>
  <c r="H195" i="11"/>
  <c r="H193" i="11"/>
  <c r="H191" i="11"/>
  <c r="H196" i="11"/>
  <c r="H194" i="11"/>
  <c r="H197" i="11"/>
  <c r="H192" i="11"/>
  <c r="H71" i="11"/>
  <c r="H69" i="11"/>
  <c r="F40" i="11"/>
  <c r="B143" i="11"/>
  <c r="C303" i="11"/>
  <c r="B144" i="11"/>
  <c r="K3" i="14"/>
  <c r="J28" i="14"/>
  <c r="H35" i="14"/>
  <c r="H67" i="11" s="1"/>
  <c r="H23" i="14"/>
  <c r="H31" i="14"/>
  <c r="H59" i="14"/>
  <c r="H74" i="11" s="1"/>
  <c r="H40" i="14"/>
  <c r="H22" i="11"/>
  <c r="I26" i="14"/>
  <c r="I20" i="14"/>
  <c r="I21" i="14" s="1"/>
  <c r="I22" i="14" s="1"/>
  <c r="C218" i="11"/>
  <c r="C242" i="11" s="1"/>
  <c r="C310" i="11" s="1"/>
  <c r="C243" i="11"/>
  <c r="L205" i="11"/>
  <c r="J12" i="4"/>
  <c r="I11" i="11"/>
  <c r="J13" i="4"/>
  <c r="K2" i="16"/>
  <c r="L92" i="11"/>
  <c r="C304" i="11"/>
  <c r="C79" i="11" s="1"/>
  <c r="G25" i="11"/>
  <c r="G24" i="14"/>
  <c r="G199" i="11"/>
  <c r="C145" i="11"/>
  <c r="D291" i="11"/>
  <c r="D294" i="11" s="1"/>
  <c r="I12" i="14"/>
  <c r="H25" i="14"/>
  <c r="H27" i="11" s="1"/>
  <c r="E228" i="11"/>
  <c r="E229" i="11" s="1"/>
  <c r="C217" i="11" l="1"/>
  <c r="C241" i="11" s="1"/>
  <c r="C80" i="11" s="1"/>
  <c r="C103" i="11" s="1"/>
  <c r="C105" i="11" s="1"/>
  <c r="J170" i="11"/>
  <c r="K207" i="11"/>
  <c r="K213" i="11" s="1"/>
  <c r="L26" i="11"/>
  <c r="M5" i="14"/>
  <c r="I25" i="14"/>
  <c r="I27" i="11" s="1"/>
  <c r="F223" i="11"/>
  <c r="E172" i="11"/>
  <c r="E227" i="11"/>
  <c r="D145" i="11"/>
  <c r="E291" i="11"/>
  <c r="E294" i="11" s="1"/>
  <c r="G58" i="11"/>
  <c r="G23" i="11"/>
  <c r="C96" i="11"/>
  <c r="C81" i="11"/>
  <c r="C110" i="11"/>
  <c r="C311" i="11"/>
  <c r="J26" i="14"/>
  <c r="I22" i="11"/>
  <c r="I40" i="14"/>
  <c r="I59" i="14"/>
  <c r="I74" i="11" s="1"/>
  <c r="J20" i="14"/>
  <c r="J21" i="14" s="1"/>
  <c r="J22" i="14" s="1"/>
  <c r="H68" i="11"/>
  <c r="K28" i="14"/>
  <c r="L3" i="14"/>
  <c r="C306" i="11"/>
  <c r="H199" i="11"/>
  <c r="F59" i="11"/>
  <c r="F13" i="11"/>
  <c r="F62" i="11"/>
  <c r="F259" i="11"/>
  <c r="F73" i="11" s="1"/>
  <c r="F260" i="11" s="1"/>
  <c r="F261" i="11" s="1"/>
  <c r="E262" i="11"/>
  <c r="E154" i="11"/>
  <c r="E30" i="11" s="1"/>
  <c r="J13" i="14"/>
  <c r="J60" i="11"/>
  <c r="K280" i="11"/>
  <c r="K282" i="11" s="1"/>
  <c r="J141" i="11"/>
  <c r="J332" i="11"/>
  <c r="J334" i="11" s="1"/>
  <c r="I165" i="11"/>
  <c r="D288" i="11"/>
  <c r="D304" i="11" s="1"/>
  <c r="D79" i="11" s="1"/>
  <c r="L297" i="11"/>
  <c r="L298" i="11" s="1"/>
  <c r="K148" i="11"/>
  <c r="C175" i="11"/>
  <c r="D104" i="11"/>
  <c r="D221" i="11"/>
  <c r="F293" i="11"/>
  <c r="F286" i="11" s="1"/>
  <c r="I13" i="14"/>
  <c r="I60" i="11"/>
  <c r="G109" i="11"/>
  <c r="G16" i="9"/>
  <c r="M92" i="11"/>
  <c r="L2" i="16"/>
  <c r="J191" i="11"/>
  <c r="J195" i="11"/>
  <c r="J196" i="11"/>
  <c r="J197" i="11"/>
  <c r="J192" i="11"/>
  <c r="J194" i="11"/>
  <c r="J193" i="11"/>
  <c r="J71" i="11"/>
  <c r="J69" i="11"/>
  <c r="K12" i="4"/>
  <c r="J11" i="11"/>
  <c r="M205" i="11"/>
  <c r="I23" i="14"/>
  <c r="I31" i="14"/>
  <c r="I35" i="14"/>
  <c r="I67" i="11" s="1"/>
  <c r="H25" i="11"/>
  <c r="H24" i="14"/>
  <c r="B50" i="14"/>
  <c r="B51" i="14" s="1"/>
  <c r="B146" i="11"/>
  <c r="K19" i="14"/>
  <c r="K11" i="14"/>
  <c r="J337" i="11"/>
  <c r="J339" i="11" s="1"/>
  <c r="I180" i="11"/>
  <c r="I199" i="11"/>
  <c r="F236" i="11"/>
  <c r="F237" i="11" s="1"/>
  <c r="J25" i="14" l="1"/>
  <c r="J27" i="11" s="1"/>
  <c r="L207" i="11"/>
  <c r="L213" i="11" s="1"/>
  <c r="K170" i="11"/>
  <c r="M26" i="11"/>
  <c r="N5" i="14"/>
  <c r="F173" i="11"/>
  <c r="G231" i="11"/>
  <c r="F235" i="11"/>
  <c r="F233" i="11" s="1"/>
  <c r="G259" i="11"/>
  <c r="G73" i="11" s="1"/>
  <c r="G260" i="11" s="1"/>
  <c r="G261" i="11" s="1"/>
  <c r="F154" i="11"/>
  <c r="F30" i="11" s="1"/>
  <c r="F262" i="11"/>
  <c r="L11" i="14"/>
  <c r="L12" i="14" s="1"/>
  <c r="G17" i="9"/>
  <c r="G292" i="11"/>
  <c r="G23" i="9"/>
  <c r="D96" i="11"/>
  <c r="D309" i="11"/>
  <c r="C142" i="11"/>
  <c r="F291" i="11"/>
  <c r="F294" i="11" s="1"/>
  <c r="E145" i="11"/>
  <c r="B70" i="11"/>
  <c r="B55" i="14"/>
  <c r="B72" i="11" s="1"/>
  <c r="I68" i="11"/>
  <c r="L12" i="4"/>
  <c r="L13" i="4" s="1"/>
  <c r="K11" i="11"/>
  <c r="D171" i="11"/>
  <c r="E215" i="11"/>
  <c r="D245" i="11"/>
  <c r="D219" i="11"/>
  <c r="C176" i="11"/>
  <c r="C181" i="11"/>
  <c r="L148" i="11"/>
  <c r="M297" i="11"/>
  <c r="M298" i="11" s="1"/>
  <c r="J165" i="11"/>
  <c r="K332" i="11"/>
  <c r="K334" i="11" s="1"/>
  <c r="K141" i="11"/>
  <c r="L280" i="11"/>
  <c r="L282" i="11" s="1"/>
  <c r="D303" i="11"/>
  <c r="D306" i="11" s="1"/>
  <c r="C143" i="11"/>
  <c r="I16" i="9"/>
  <c r="I109" i="11"/>
  <c r="K337" i="11"/>
  <c r="K339" i="11" s="1"/>
  <c r="J180" i="11"/>
  <c r="K12" i="14"/>
  <c r="L19" i="14"/>
  <c r="H58" i="11"/>
  <c r="H23" i="11"/>
  <c r="I24" i="14"/>
  <c r="I25" i="11"/>
  <c r="N205" i="11"/>
  <c r="K13" i="4"/>
  <c r="J199" i="11"/>
  <c r="J109" i="11" s="1"/>
  <c r="N92" i="11"/>
  <c r="M2" i="16"/>
  <c r="G40" i="11"/>
  <c r="E285" i="11"/>
  <c r="H109" i="11"/>
  <c r="H16" i="9"/>
  <c r="L28" i="14"/>
  <c r="M3" i="14"/>
  <c r="J35" i="14"/>
  <c r="J67" i="11" s="1"/>
  <c r="J23" i="14"/>
  <c r="J31" i="14"/>
  <c r="J40" i="14"/>
  <c r="J22" i="11"/>
  <c r="K26" i="14"/>
  <c r="K20" i="14"/>
  <c r="K21" i="14" s="1"/>
  <c r="K22" i="14" s="1"/>
  <c r="J59" i="14"/>
  <c r="J74" i="11" s="1"/>
  <c r="C41" i="11"/>
  <c r="C39" i="11" s="1"/>
  <c r="C43" i="11" s="1"/>
  <c r="C49" i="11" s="1"/>
  <c r="C111" i="11"/>
  <c r="C4" i="16" s="1"/>
  <c r="G13" i="11"/>
  <c r="G59" i="11"/>
  <c r="G62" i="11"/>
  <c r="E226" i="11"/>
  <c r="E225" i="11" s="1"/>
  <c r="F228" i="11"/>
  <c r="F229" i="11" s="1"/>
  <c r="F227" i="11" s="1"/>
  <c r="M207" i="11" l="1"/>
  <c r="M213" i="11" s="1"/>
  <c r="L170" i="11"/>
  <c r="O5" i="14"/>
  <c r="O26" i="11" s="1"/>
  <c r="N26" i="11"/>
  <c r="F226" i="11"/>
  <c r="F225" i="11" s="1"/>
  <c r="G223" i="11"/>
  <c r="F172" i="11"/>
  <c r="J24" i="14"/>
  <c r="J25" i="11"/>
  <c r="N3" i="14"/>
  <c r="M28" i="14"/>
  <c r="J40" i="11"/>
  <c r="G154" i="11"/>
  <c r="G30" i="11" s="1"/>
  <c r="H259" i="11"/>
  <c r="H73" i="11" s="1"/>
  <c r="H260" i="11" s="1"/>
  <c r="H261" i="11" s="1"/>
  <c r="G262" i="11"/>
  <c r="K31" i="14"/>
  <c r="K35" i="14"/>
  <c r="K67" i="11" s="1"/>
  <c r="K23" i="14"/>
  <c r="J68" i="11"/>
  <c r="H40" i="11"/>
  <c r="E288" i="11"/>
  <c r="E304" i="11" s="1"/>
  <c r="E79" i="11" s="1"/>
  <c r="O92" i="11"/>
  <c r="O2" i="16" s="1"/>
  <c r="N2" i="16"/>
  <c r="K71" i="11"/>
  <c r="K194" i="11"/>
  <c r="K196" i="11"/>
  <c r="K192" i="11"/>
  <c r="K193" i="11"/>
  <c r="K197" i="11"/>
  <c r="K195" i="11"/>
  <c r="K191" i="11"/>
  <c r="K199" i="11" s="1"/>
  <c r="K109" i="11" s="1"/>
  <c r="K69" i="11"/>
  <c r="O205" i="11"/>
  <c r="I23" i="11"/>
  <c r="I58" i="11"/>
  <c r="H59" i="11"/>
  <c r="H62" i="11"/>
  <c r="H13" i="11"/>
  <c r="K25" i="14"/>
  <c r="K27" i="11" s="1"/>
  <c r="K13" i="14"/>
  <c r="K60" i="11"/>
  <c r="K180" i="11"/>
  <c r="L337" i="11"/>
  <c r="L339" i="11" s="1"/>
  <c r="I23" i="9"/>
  <c r="I17" i="9"/>
  <c r="I293" i="11" s="1"/>
  <c r="I286" i="11" s="1"/>
  <c r="I292" i="11"/>
  <c r="D143" i="11"/>
  <c r="E303" i="11"/>
  <c r="N297" i="11"/>
  <c r="N298" i="11" s="1"/>
  <c r="M148" i="11"/>
  <c r="D218" i="11"/>
  <c r="D242" i="11" s="1"/>
  <c r="D310" i="11" s="1"/>
  <c r="D243" i="11"/>
  <c r="E239" i="11"/>
  <c r="E220" i="11"/>
  <c r="E244" i="11" s="1"/>
  <c r="L11" i="11"/>
  <c r="M12" i="4"/>
  <c r="M13" i="4"/>
  <c r="B276" i="11"/>
  <c r="B75" i="11"/>
  <c r="F38" i="17" s="1"/>
  <c r="B266" i="11"/>
  <c r="G291" i="11"/>
  <c r="F145" i="11"/>
  <c r="G293" i="11"/>
  <c r="G286" i="11" s="1"/>
  <c r="M11" i="14"/>
  <c r="G236" i="11"/>
  <c r="G237" i="11" s="1"/>
  <c r="K59" i="14"/>
  <c r="K74" i="11" s="1"/>
  <c r="K40" i="14"/>
  <c r="K22" i="11"/>
  <c r="L26" i="14"/>
  <c r="L20" i="14"/>
  <c r="L21" i="14" s="1"/>
  <c r="L22" i="14" s="1"/>
  <c r="H17" i="9"/>
  <c r="H293" i="11" s="1"/>
  <c r="H286" i="11" s="1"/>
  <c r="H292" i="11"/>
  <c r="H23" i="9"/>
  <c r="M19" i="14"/>
  <c r="I40" i="11"/>
  <c r="M280" i="11"/>
  <c r="M282" i="11" s="1"/>
  <c r="L141" i="11"/>
  <c r="L332" i="11"/>
  <c r="L334" i="11" s="1"/>
  <c r="K165" i="11"/>
  <c r="L196" i="11"/>
  <c r="L191" i="11"/>
  <c r="L192" i="11"/>
  <c r="L194" i="11"/>
  <c r="L197" i="11"/>
  <c r="L193" i="11"/>
  <c r="L195" i="11"/>
  <c r="L69" i="11"/>
  <c r="L71" i="11"/>
  <c r="C144" i="11"/>
  <c r="E19" i="9"/>
  <c r="L60" i="11"/>
  <c r="L13" i="14"/>
  <c r="L25" i="14" l="1"/>
  <c r="L27" i="11" s="1"/>
  <c r="M170" i="11"/>
  <c r="N207" i="11"/>
  <c r="N213" i="11" s="1"/>
  <c r="D217" i="11"/>
  <c r="D241" i="11" s="1"/>
  <c r="D80" i="11" s="1"/>
  <c r="D81" i="11" s="1"/>
  <c r="E306" i="11"/>
  <c r="F303" i="11" s="1"/>
  <c r="G173" i="11"/>
  <c r="H231" i="11"/>
  <c r="G235" i="11"/>
  <c r="G233" i="11" s="1"/>
  <c r="N19" i="14"/>
  <c r="L40" i="14"/>
  <c r="M26" i="14"/>
  <c r="L22" i="11"/>
  <c r="L59" i="14"/>
  <c r="L74" i="11" s="1"/>
  <c r="M20" i="14"/>
  <c r="M21" i="14" s="1"/>
  <c r="M22" i="14" s="1"/>
  <c r="N11" i="14"/>
  <c r="N12" i="14" s="1"/>
  <c r="G294" i="11"/>
  <c r="B315" i="11"/>
  <c r="B14" i="11"/>
  <c r="B17" i="11" s="1"/>
  <c r="F41" i="17" s="1"/>
  <c r="B255" i="11"/>
  <c r="B77" i="11"/>
  <c r="B83" i="11" s="1"/>
  <c r="M193" i="11"/>
  <c r="M192" i="11"/>
  <c r="M195" i="11"/>
  <c r="M69" i="11"/>
  <c r="M197" i="11"/>
  <c r="M191" i="11"/>
  <c r="M196" i="11"/>
  <c r="M71" i="11"/>
  <c r="M194" i="11"/>
  <c r="C50" i="14"/>
  <c r="C51" i="14" s="1"/>
  <c r="C146" i="11"/>
  <c r="L199" i="11"/>
  <c r="L109" i="11" s="1"/>
  <c r="M332" i="11"/>
  <c r="M334" i="11" s="1"/>
  <c r="L165" i="11"/>
  <c r="M141" i="11"/>
  <c r="N280" i="11"/>
  <c r="N282" i="11" s="1"/>
  <c r="L31" i="14"/>
  <c r="L23" i="14"/>
  <c r="L35" i="14"/>
  <c r="L67" i="11" s="1"/>
  <c r="M12" i="14"/>
  <c r="E20" i="9"/>
  <c r="C265" i="11"/>
  <c r="B267" i="11"/>
  <c r="B153" i="11"/>
  <c r="B277" i="11"/>
  <c r="B155" i="11"/>
  <c r="C275" i="11"/>
  <c r="M11" i="11"/>
  <c r="N12" i="4"/>
  <c r="D311" i="11"/>
  <c r="D110" i="11"/>
  <c r="O297" i="11"/>
  <c r="O298" i="11" s="1"/>
  <c r="O148" i="11" s="1"/>
  <c r="N148" i="11"/>
  <c r="M337" i="11"/>
  <c r="M339" i="11" s="1"/>
  <c r="L180" i="11"/>
  <c r="I59" i="11"/>
  <c r="I13" i="11"/>
  <c r="I62" i="11"/>
  <c r="F285" i="11"/>
  <c r="K25" i="11"/>
  <c r="K24" i="14"/>
  <c r="K68" i="11"/>
  <c r="E104" i="11"/>
  <c r="D175" i="11"/>
  <c r="E221" i="11"/>
  <c r="H262" i="11"/>
  <c r="I259" i="11"/>
  <c r="I73" i="11" s="1"/>
  <c r="I260" i="11" s="1"/>
  <c r="I261" i="11" s="1"/>
  <c r="H154" i="11"/>
  <c r="H30" i="11" s="1"/>
  <c r="K40" i="11"/>
  <c r="E96" i="11"/>
  <c r="N28" i="14"/>
  <c r="O3" i="14"/>
  <c r="O28" i="14" s="1"/>
  <c r="J58" i="11"/>
  <c r="J23" i="11"/>
  <c r="G228" i="11"/>
  <c r="G229" i="11" s="1"/>
  <c r="D103" i="11" l="1"/>
  <c r="D105" i="11" s="1"/>
  <c r="M199" i="11"/>
  <c r="M109" i="11" s="1"/>
  <c r="N170" i="11"/>
  <c r="O207" i="11"/>
  <c r="O213" i="11" s="1"/>
  <c r="O170" i="11" s="1"/>
  <c r="E143" i="11"/>
  <c r="G172" i="11"/>
  <c r="H223" i="11"/>
  <c r="G227" i="11"/>
  <c r="J259" i="11"/>
  <c r="J73" i="11" s="1"/>
  <c r="J260" i="11" s="1"/>
  <c r="J261" i="11" s="1"/>
  <c r="I262" i="11"/>
  <c r="I154" i="11"/>
  <c r="I30" i="11" s="1"/>
  <c r="E245" i="11"/>
  <c r="F215" i="11"/>
  <c r="E171" i="11"/>
  <c r="E219" i="11"/>
  <c r="F288" i="11"/>
  <c r="F304" i="11" s="1"/>
  <c r="D41" i="11"/>
  <c r="D39" i="11" s="1"/>
  <c r="D43" i="11" s="1"/>
  <c r="D49" i="11" s="1"/>
  <c r="D111" i="11"/>
  <c r="D4" i="16" s="1"/>
  <c r="N11" i="11"/>
  <c r="O12" i="4"/>
  <c r="O11" i="11" s="1"/>
  <c r="N13" i="4"/>
  <c r="M13" i="14"/>
  <c r="M60" i="11"/>
  <c r="L25" i="11"/>
  <c r="L24" i="14"/>
  <c r="M165" i="11"/>
  <c r="N332" i="11"/>
  <c r="N334" i="11" s="1"/>
  <c r="B151" i="11"/>
  <c r="C254" i="11"/>
  <c r="C98" i="11" s="1"/>
  <c r="B256" i="11"/>
  <c r="B112" i="11"/>
  <c r="B179" i="11"/>
  <c r="B182" i="11" s="1"/>
  <c r="B316" i="11"/>
  <c r="B99" i="11" s="1"/>
  <c r="C314" i="11"/>
  <c r="O11" i="14"/>
  <c r="O12" i="14" s="1"/>
  <c r="M23" i="14"/>
  <c r="M35" i="14"/>
  <c r="M67" i="11" s="1"/>
  <c r="M31" i="14"/>
  <c r="M25" i="14"/>
  <c r="M27" i="11" s="1"/>
  <c r="H236" i="11"/>
  <c r="H237" i="11" s="1"/>
  <c r="J59" i="11"/>
  <c r="J13" i="11"/>
  <c r="J62" i="11"/>
  <c r="D181" i="11"/>
  <c r="D176" i="11"/>
  <c r="K58" i="11"/>
  <c r="K23" i="11"/>
  <c r="M180" i="11"/>
  <c r="N337" i="11"/>
  <c r="N339" i="11" s="1"/>
  <c r="E309" i="11"/>
  <c r="D142" i="11"/>
  <c r="D144" i="11" s="1"/>
  <c r="L68" i="11"/>
  <c r="O280" i="11"/>
  <c r="O282" i="11" s="1"/>
  <c r="O141" i="11" s="1"/>
  <c r="N141" i="11"/>
  <c r="L40" i="11"/>
  <c r="C70" i="11"/>
  <c r="C55" i="14"/>
  <c r="C72" i="11" s="1"/>
  <c r="M40" i="11"/>
  <c r="B85" i="11"/>
  <c r="B86" i="11" s="1"/>
  <c r="F39" i="17" s="1"/>
  <c r="H291" i="11"/>
  <c r="H294" i="11" s="1"/>
  <c r="G145" i="11"/>
  <c r="N60" i="11"/>
  <c r="N13" i="14"/>
  <c r="M40" i="14"/>
  <c r="N20" i="14"/>
  <c r="N21" i="14" s="1"/>
  <c r="N22" i="14" s="1"/>
  <c r="N26" i="14"/>
  <c r="M22" i="11"/>
  <c r="M59" i="14"/>
  <c r="M74" i="11" s="1"/>
  <c r="O19" i="14"/>
  <c r="O60" i="11" l="1"/>
  <c r="O13" i="14"/>
  <c r="H173" i="11"/>
  <c r="I231" i="11"/>
  <c r="H235" i="11"/>
  <c r="H233" i="11" s="1"/>
  <c r="F79" i="11"/>
  <c r="F306" i="11"/>
  <c r="N31" i="14"/>
  <c r="N23" i="14"/>
  <c r="N35" i="14"/>
  <c r="N67" i="11" s="1"/>
  <c r="B36" i="11"/>
  <c r="F42" i="17" s="1"/>
  <c r="B15" i="11"/>
  <c r="B35" i="11" s="1"/>
  <c r="F43" i="17" s="1"/>
  <c r="B95" i="11"/>
  <c r="B97" i="11" s="1"/>
  <c r="F40" i="17" s="1"/>
  <c r="B328" i="11"/>
  <c r="B329" i="11" s="1"/>
  <c r="N25" i="14"/>
  <c r="N27" i="11" s="1"/>
  <c r="N22" i="11"/>
  <c r="N40" i="14"/>
  <c r="O26" i="14"/>
  <c r="O20" i="14"/>
  <c r="O21" i="14" s="1"/>
  <c r="O22" i="14" s="1"/>
  <c r="N59" i="14"/>
  <c r="N74" i="11" s="1"/>
  <c r="I291" i="11"/>
  <c r="I294" i="11" s="1"/>
  <c r="H145" i="11"/>
  <c r="C276" i="11"/>
  <c r="C75" i="11"/>
  <c r="G38" i="17" s="1"/>
  <c r="C266" i="11"/>
  <c r="D50" i="14"/>
  <c r="D51" i="14" s="1"/>
  <c r="D146" i="11"/>
  <c r="O337" i="11"/>
  <c r="O339" i="11" s="1"/>
  <c r="O180" i="11" s="1"/>
  <c r="N180" i="11"/>
  <c r="J154" i="11"/>
  <c r="J30" i="11" s="1"/>
  <c r="K259" i="11"/>
  <c r="K73" i="11" s="1"/>
  <c r="K260" i="11" s="1"/>
  <c r="K261" i="11" s="1"/>
  <c r="J262" i="11"/>
  <c r="N165" i="11"/>
  <c r="O332" i="11"/>
  <c r="O334" i="11" s="1"/>
  <c r="O165" i="11" s="1"/>
  <c r="L23" i="11"/>
  <c r="L58" i="11"/>
  <c r="N192" i="11"/>
  <c r="N197" i="11"/>
  <c r="N195" i="11"/>
  <c r="N193" i="11"/>
  <c r="N194" i="11"/>
  <c r="N196" i="11"/>
  <c r="N71" i="11"/>
  <c r="N191" i="11"/>
  <c r="N69" i="11"/>
  <c r="E218" i="11"/>
  <c r="E242" i="11" s="1"/>
  <c r="E310" i="11" s="1"/>
  <c r="E243" i="11"/>
  <c r="F239" i="11"/>
  <c r="F220" i="11"/>
  <c r="F244" i="11" s="1"/>
  <c r="H228" i="11"/>
  <c r="H229" i="11" s="1"/>
  <c r="K62" i="11"/>
  <c r="K13" i="11"/>
  <c r="K59" i="11"/>
  <c r="M68" i="11"/>
  <c r="M25" i="11"/>
  <c r="M24" i="14"/>
  <c r="O13" i="4"/>
  <c r="G285" i="11"/>
  <c r="G226" i="11"/>
  <c r="G225" i="11" s="1"/>
  <c r="B100" i="11" l="1"/>
  <c r="N199" i="11"/>
  <c r="N109" i="11" s="1"/>
  <c r="I223" i="11"/>
  <c r="H172" i="11"/>
  <c r="H227" i="11"/>
  <c r="L259" i="11"/>
  <c r="L73" i="11" s="1"/>
  <c r="L260" i="11" s="1"/>
  <c r="L261" i="11" s="1"/>
  <c r="K154" i="11"/>
  <c r="K30" i="11" s="1"/>
  <c r="K262" i="11"/>
  <c r="E110" i="11"/>
  <c r="E311" i="11"/>
  <c r="G288" i="11"/>
  <c r="G304" i="11" s="1"/>
  <c r="G79" i="11" s="1"/>
  <c r="M58" i="11"/>
  <c r="M23" i="11"/>
  <c r="E175" i="11"/>
  <c r="F104" i="11"/>
  <c r="F221" i="11"/>
  <c r="E217" i="11"/>
  <c r="E241" i="11" s="1"/>
  <c r="E80" i="11" s="1"/>
  <c r="C315" i="11"/>
  <c r="C255" i="11"/>
  <c r="C14" i="11"/>
  <c r="J291" i="11"/>
  <c r="J294" i="11" s="1"/>
  <c r="I145" i="11"/>
  <c r="O23" i="14"/>
  <c r="O35" i="14"/>
  <c r="O67" i="11" s="1"/>
  <c r="O31" i="14"/>
  <c r="B16" i="11"/>
  <c r="B3" i="16"/>
  <c r="B5" i="16" s="1"/>
  <c r="N24" i="14"/>
  <c r="N25" i="11"/>
  <c r="O25" i="14"/>
  <c r="O27" i="11" s="1"/>
  <c r="F96" i="11"/>
  <c r="I236" i="11"/>
  <c r="I237" i="11" s="1"/>
  <c r="O191" i="11"/>
  <c r="O197" i="11"/>
  <c r="O192" i="11"/>
  <c r="O69" i="11"/>
  <c r="O194" i="11"/>
  <c r="O196" i="11"/>
  <c r="O193" i="11"/>
  <c r="O71" i="11"/>
  <c r="O195" i="11"/>
  <c r="B106" i="11"/>
  <c r="B33" i="11"/>
  <c r="F44" i="17" s="1"/>
  <c r="N40" i="11"/>
  <c r="L62" i="11"/>
  <c r="L59" i="11"/>
  <c r="L13" i="11"/>
  <c r="D70" i="11"/>
  <c r="D55" i="14"/>
  <c r="D72" i="11" s="1"/>
  <c r="D265" i="11"/>
  <c r="C153" i="11"/>
  <c r="C267" i="11"/>
  <c r="C155" i="11"/>
  <c r="D275" i="11"/>
  <c r="C277" i="11"/>
  <c r="O40" i="14"/>
  <c r="O59" i="14"/>
  <c r="O74" i="11" s="1"/>
  <c r="O22" i="11"/>
  <c r="B164" i="11"/>
  <c r="C327" i="11"/>
  <c r="N68" i="11"/>
  <c r="G303" i="11"/>
  <c r="F143" i="11"/>
  <c r="G306" i="11" l="1"/>
  <c r="H303" i="11" s="1"/>
  <c r="I173" i="11"/>
  <c r="J231" i="11"/>
  <c r="I235" i="11"/>
  <c r="I233" i="11" s="1"/>
  <c r="D276" i="11"/>
  <c r="D75" i="11"/>
  <c r="H38" i="17" s="1"/>
  <c r="D266" i="11"/>
  <c r="O199" i="11"/>
  <c r="O109" i="11" s="1"/>
  <c r="N23" i="11"/>
  <c r="N58" i="11"/>
  <c r="C316" i="11"/>
  <c r="C99" i="11" s="1"/>
  <c r="C179" i="11"/>
  <c r="C182" i="11" s="1"/>
  <c r="D314" i="11"/>
  <c r="F245" i="11"/>
  <c r="G215" i="11"/>
  <c r="F171" i="11"/>
  <c r="F219" i="11"/>
  <c r="E181" i="11"/>
  <c r="E176" i="11"/>
  <c r="M13" i="11"/>
  <c r="M62" i="11"/>
  <c r="M59" i="11"/>
  <c r="H285" i="11"/>
  <c r="E41" i="11"/>
  <c r="E39" i="11" s="1"/>
  <c r="E43" i="11" s="1"/>
  <c r="E49" i="11" s="1"/>
  <c r="E111" i="11"/>
  <c r="E4" i="16" s="1"/>
  <c r="H226" i="11"/>
  <c r="H225" i="11" s="1"/>
  <c r="I228" i="11"/>
  <c r="I229" i="11" s="1"/>
  <c r="L262" i="11"/>
  <c r="M259" i="11"/>
  <c r="M73" i="11" s="1"/>
  <c r="M260" i="11" s="1"/>
  <c r="M261" i="11" s="1"/>
  <c r="L154" i="11"/>
  <c r="L30" i="11" s="1"/>
  <c r="B34" i="11"/>
  <c r="F29" i="17"/>
  <c r="B113" i="11"/>
  <c r="B123" i="11" s="1"/>
  <c r="O68" i="11"/>
  <c r="O24" i="14"/>
  <c r="O25" i="11"/>
  <c r="J145" i="11"/>
  <c r="K291" i="11"/>
  <c r="K294" i="11" s="1"/>
  <c r="D254" i="11"/>
  <c r="D98" i="11" s="1"/>
  <c r="C151" i="11"/>
  <c r="C112" i="11"/>
  <c r="C256" i="11"/>
  <c r="E103" i="11"/>
  <c r="E105" i="11" s="1"/>
  <c r="E81" i="11"/>
  <c r="G96" i="11"/>
  <c r="F309" i="11"/>
  <c r="E142" i="11"/>
  <c r="E144" i="11" s="1"/>
  <c r="G143" i="11" l="1"/>
  <c r="N259" i="11"/>
  <c r="N73" i="11" s="1"/>
  <c r="N260" i="11" s="1"/>
  <c r="N261" i="11" s="1"/>
  <c r="M262" i="11"/>
  <c r="M154" i="11"/>
  <c r="M30" i="11" s="1"/>
  <c r="J223" i="11"/>
  <c r="I172" i="11"/>
  <c r="I227" i="11"/>
  <c r="E50" i="14"/>
  <c r="E51" i="14" s="1"/>
  <c r="E146" i="11"/>
  <c r="L291" i="11"/>
  <c r="L294" i="11" s="1"/>
  <c r="K145" i="11"/>
  <c r="B126" i="11"/>
  <c r="B129" i="11"/>
  <c r="H288" i="11"/>
  <c r="H304" i="11" s="1"/>
  <c r="F218" i="11"/>
  <c r="F242" i="11" s="1"/>
  <c r="F310" i="11" s="1"/>
  <c r="F243" i="11"/>
  <c r="G239" i="11"/>
  <c r="G220" i="11"/>
  <c r="G244" i="11" s="1"/>
  <c r="N59" i="11"/>
  <c r="N62" i="11"/>
  <c r="N13" i="11"/>
  <c r="O40" i="11"/>
  <c r="D14" i="11"/>
  <c r="D255" i="11"/>
  <c r="D315" i="11"/>
  <c r="O23" i="11"/>
  <c r="O58" i="11"/>
  <c r="F33" i="17"/>
  <c r="F34" i="17" s="1"/>
  <c r="D153" i="11"/>
  <c r="D267" i="11"/>
  <c r="E265" i="11"/>
  <c r="D155" i="11"/>
  <c r="D277" i="11"/>
  <c r="E275" i="11"/>
  <c r="J236" i="11"/>
  <c r="J237" i="11" s="1"/>
  <c r="F217" i="11" l="1"/>
  <c r="F241" i="11" s="1"/>
  <c r="F80" i="11" s="1"/>
  <c r="F103" i="11" s="1"/>
  <c r="F105" i="11" s="1"/>
  <c r="B272" i="11"/>
  <c r="B271" i="11" s="1"/>
  <c r="C270" i="11" s="1"/>
  <c r="K231" i="11"/>
  <c r="J173" i="11"/>
  <c r="J235" i="11"/>
  <c r="J233" i="11" s="1"/>
  <c r="H79" i="11"/>
  <c r="H306" i="11"/>
  <c r="O59" i="11"/>
  <c r="O62" i="11"/>
  <c r="O13" i="11"/>
  <c r="D256" i="11"/>
  <c r="E254" i="11"/>
  <c r="E98" i="11" s="1"/>
  <c r="D112" i="11"/>
  <c r="D151" i="11"/>
  <c r="O259" i="11"/>
  <c r="O73" i="11" s="1"/>
  <c r="O260" i="11" s="1"/>
  <c r="O261" i="11" s="1"/>
  <c r="N154" i="11"/>
  <c r="N30" i="11" s="1"/>
  <c r="N262" i="11"/>
  <c r="F110" i="11"/>
  <c r="F311" i="11"/>
  <c r="B130" i="11"/>
  <c r="B131" i="11" s="1"/>
  <c r="M291" i="11"/>
  <c r="M294" i="11" s="1"/>
  <c r="L145" i="11"/>
  <c r="I226" i="11"/>
  <c r="I225" i="11" s="1"/>
  <c r="J228" i="11"/>
  <c r="J229" i="11" s="1"/>
  <c r="E314" i="11"/>
  <c r="D316" i="11"/>
  <c r="D99" i="11" s="1"/>
  <c r="D179" i="11"/>
  <c r="D182" i="11" s="1"/>
  <c r="F175" i="11"/>
  <c r="G104" i="11"/>
  <c r="G221" i="11"/>
  <c r="I285" i="11"/>
  <c r="B152" i="11"/>
  <c r="B157" i="11" s="1"/>
  <c r="E70" i="11"/>
  <c r="E55" i="14"/>
  <c r="E72" i="11" s="1"/>
  <c r="F81" i="11" l="1"/>
  <c r="J172" i="11"/>
  <c r="K223" i="11"/>
  <c r="J227" i="11"/>
  <c r="O154" i="11"/>
  <c r="O30" i="11" s="1"/>
  <c r="O262" i="11"/>
  <c r="B19" i="11"/>
  <c r="B20" i="11" s="1"/>
  <c r="B31" i="11"/>
  <c r="B158" i="11"/>
  <c r="B18" i="11" s="1"/>
  <c r="I288" i="11"/>
  <c r="I304" i="11" s="1"/>
  <c r="I79" i="11" s="1"/>
  <c r="C61" i="11"/>
  <c r="C63" i="11" s="1"/>
  <c r="G171" i="11"/>
  <c r="G245" i="11"/>
  <c r="H215" i="11"/>
  <c r="G219" i="11"/>
  <c r="F181" i="11"/>
  <c r="F176" i="11"/>
  <c r="F45" i="17"/>
  <c r="B323" i="11"/>
  <c r="G309" i="11"/>
  <c r="F142" i="11"/>
  <c r="F144" i="11" s="1"/>
  <c r="H143" i="11"/>
  <c r="I303" i="11"/>
  <c r="E276" i="11"/>
  <c r="E75" i="11"/>
  <c r="I38" i="17" s="1"/>
  <c r="E266" i="11"/>
  <c r="N291" i="11"/>
  <c r="N294" i="11" s="1"/>
  <c r="M145" i="11"/>
  <c r="F41" i="11"/>
  <c r="F39" i="11" s="1"/>
  <c r="F43" i="11" s="1"/>
  <c r="F49" i="11" s="1"/>
  <c r="F111" i="11"/>
  <c r="F4" i="16" s="1"/>
  <c r="H96" i="11"/>
  <c r="K236" i="11"/>
  <c r="K237" i="11" s="1"/>
  <c r="C17" i="11" l="1"/>
  <c r="G41" i="17" s="1"/>
  <c r="G37" i="17"/>
  <c r="I306" i="11"/>
  <c r="J303" i="11" s="1"/>
  <c r="L231" i="11"/>
  <c r="K173" i="11"/>
  <c r="K235" i="11"/>
  <c r="K233" i="11" s="1"/>
  <c r="E14" i="11"/>
  <c r="E255" i="11"/>
  <c r="E315" i="11"/>
  <c r="F50" i="14"/>
  <c r="F51" i="14" s="1"/>
  <c r="F146" i="11"/>
  <c r="E267" i="11"/>
  <c r="F265" i="11"/>
  <c r="E153" i="11"/>
  <c r="E155" i="11"/>
  <c r="E277" i="11"/>
  <c r="F275" i="11"/>
  <c r="H239" i="11"/>
  <c r="H220" i="11"/>
  <c r="H244" i="11" s="1"/>
  <c r="C77" i="11"/>
  <c r="C83" i="11" s="1"/>
  <c r="J285" i="11"/>
  <c r="J226" i="11"/>
  <c r="J225" i="11" s="1"/>
  <c r="O291" i="11"/>
  <c r="O294" i="11" s="1"/>
  <c r="O145" i="11" s="1"/>
  <c r="N145" i="11"/>
  <c r="B324" i="11"/>
  <c r="C322" i="11" s="1"/>
  <c r="B166" i="11"/>
  <c r="B167" i="11" s="1"/>
  <c r="G243" i="11"/>
  <c r="G218" i="11"/>
  <c r="G242" i="11" s="1"/>
  <c r="G310" i="11" s="1"/>
  <c r="I96" i="11"/>
  <c r="K228" i="11"/>
  <c r="K229" i="11" s="1"/>
  <c r="I143" i="11" l="1"/>
  <c r="H221" i="11"/>
  <c r="H219" i="11" s="1"/>
  <c r="H218" i="11" s="1"/>
  <c r="H242" i="11" s="1"/>
  <c r="H310" i="11" s="1"/>
  <c r="K172" i="11"/>
  <c r="L223" i="11"/>
  <c r="K227" i="11"/>
  <c r="G110" i="11"/>
  <c r="G311" i="11"/>
  <c r="G217" i="11"/>
  <c r="G241" i="11" s="1"/>
  <c r="G80" i="11" s="1"/>
  <c r="J288" i="11"/>
  <c r="J304" i="11" s="1"/>
  <c r="J79" i="11" s="1"/>
  <c r="C85" i="11"/>
  <c r="C86" i="11" s="1"/>
  <c r="G39" i="17" s="1"/>
  <c r="G175" i="11"/>
  <c r="H104" i="11"/>
  <c r="E179" i="11"/>
  <c r="E182" i="11" s="1"/>
  <c r="E316" i="11"/>
  <c r="E99" i="11" s="1"/>
  <c r="F314" i="11"/>
  <c r="B184" i="11"/>
  <c r="B32" i="11"/>
  <c r="B37" i="11"/>
  <c r="F70" i="11"/>
  <c r="F55" i="14"/>
  <c r="F72" i="11" s="1"/>
  <c r="E151" i="11"/>
  <c r="E256" i="11"/>
  <c r="E112" i="11"/>
  <c r="F254" i="11"/>
  <c r="F98" i="11" s="1"/>
  <c r="L236" i="11"/>
  <c r="L237" i="11" s="1"/>
  <c r="H245" i="11" l="1"/>
  <c r="H171" i="11"/>
  <c r="H243" i="11"/>
  <c r="I215" i="11"/>
  <c r="I239" i="11" s="1"/>
  <c r="H217" i="11"/>
  <c r="H241" i="11" s="1"/>
  <c r="H80" i="11" s="1"/>
  <c r="H103" i="11" s="1"/>
  <c r="H105" i="11" s="1"/>
  <c r="M231" i="11"/>
  <c r="L173" i="11"/>
  <c r="L235" i="11"/>
  <c r="L233" i="11" s="1"/>
  <c r="F276" i="11"/>
  <c r="F75" i="11"/>
  <c r="J38" i="17" s="1"/>
  <c r="F266" i="11"/>
  <c r="K285" i="11"/>
  <c r="J306" i="11"/>
  <c r="G103" i="11"/>
  <c r="G105" i="11" s="1"/>
  <c r="G81" i="11"/>
  <c r="G41" i="11"/>
  <c r="G39" i="11" s="1"/>
  <c r="G43" i="11" s="1"/>
  <c r="G49" i="11" s="1"/>
  <c r="G111" i="11"/>
  <c r="G4" i="16" s="1"/>
  <c r="L228" i="11"/>
  <c r="L229" i="11" s="1"/>
  <c r="H110" i="11"/>
  <c r="G176" i="11"/>
  <c r="G181" i="11"/>
  <c r="C36" i="11"/>
  <c r="G42" i="17" s="1"/>
  <c r="C328" i="11"/>
  <c r="C15" i="11"/>
  <c r="C35" i="11" s="1"/>
  <c r="G43" i="17" s="1"/>
  <c r="C95" i="11"/>
  <c r="C97" i="11" s="1"/>
  <c r="G40" i="17" s="1"/>
  <c r="J96" i="11"/>
  <c r="H309" i="11"/>
  <c r="H311" i="11" s="1"/>
  <c r="G142" i="11"/>
  <c r="G144" i="11" s="1"/>
  <c r="K226" i="11"/>
  <c r="K225" i="11" s="1"/>
  <c r="H81" i="11" l="1"/>
  <c r="I220" i="11"/>
  <c r="I244" i="11" s="1"/>
  <c r="H175" i="11" s="1"/>
  <c r="L172" i="11"/>
  <c r="M223" i="11"/>
  <c r="L227" i="11"/>
  <c r="C16" i="11"/>
  <c r="C3" i="16"/>
  <c r="C5" i="16" s="1"/>
  <c r="C100" i="11"/>
  <c r="C164" i="11"/>
  <c r="C329" i="11"/>
  <c r="D327" i="11" s="1"/>
  <c r="H41" i="11"/>
  <c r="H39" i="11" s="1"/>
  <c r="H43" i="11" s="1"/>
  <c r="H49" i="11" s="1"/>
  <c r="H111" i="11"/>
  <c r="H4" i="16" s="1"/>
  <c r="J143" i="11"/>
  <c r="K303" i="11"/>
  <c r="F255" i="11"/>
  <c r="F14" i="11"/>
  <c r="F315" i="11"/>
  <c r="G146" i="11"/>
  <c r="G50" i="14"/>
  <c r="G51" i="14" s="1"/>
  <c r="I309" i="11"/>
  <c r="H142" i="11"/>
  <c r="H144" i="11" s="1"/>
  <c r="K288" i="11"/>
  <c r="K304" i="11" s="1"/>
  <c r="K79" i="11" s="1"/>
  <c r="G265" i="11"/>
  <c r="F267" i="11"/>
  <c r="F153" i="11"/>
  <c r="F155" i="11"/>
  <c r="F277" i="11"/>
  <c r="G275" i="11"/>
  <c r="M236" i="11"/>
  <c r="M237" i="11" s="1"/>
  <c r="I221" i="11" l="1"/>
  <c r="I245" i="11" s="1"/>
  <c r="I104" i="11"/>
  <c r="N231" i="11"/>
  <c r="M173" i="11"/>
  <c r="K96" i="11"/>
  <c r="H50" i="14"/>
  <c r="H51" i="14" s="1"/>
  <c r="H146" i="11"/>
  <c r="F316" i="11"/>
  <c r="F99" i="11" s="1"/>
  <c r="F179" i="11"/>
  <c r="F182" i="11" s="1"/>
  <c r="G314" i="11"/>
  <c r="F256" i="11"/>
  <c r="F151" i="11"/>
  <c r="G254" i="11"/>
  <c r="G98" i="11" s="1"/>
  <c r="F112" i="11"/>
  <c r="M235" i="11"/>
  <c r="M233" i="11" s="1"/>
  <c r="L285" i="11"/>
  <c r="K306" i="11"/>
  <c r="H176" i="11"/>
  <c r="H181" i="11"/>
  <c r="C33" i="11"/>
  <c r="G44" i="17" s="1"/>
  <c r="C106" i="11"/>
  <c r="M228" i="11"/>
  <c r="M229" i="11" s="1"/>
  <c r="G70" i="11"/>
  <c r="G55" i="14"/>
  <c r="G72" i="11" s="1"/>
  <c r="L226" i="11"/>
  <c r="L225" i="11" s="1"/>
  <c r="I219" i="11" l="1"/>
  <c r="I243" i="11" s="1"/>
  <c r="J215" i="11"/>
  <c r="J220" i="11" s="1"/>
  <c r="J244" i="11" s="1"/>
  <c r="I171" i="11"/>
  <c r="M172" i="11"/>
  <c r="N223" i="11"/>
  <c r="M227" i="11"/>
  <c r="G276" i="11"/>
  <c r="G75" i="11"/>
  <c r="G266" i="11"/>
  <c r="C113" i="11"/>
  <c r="C123" i="11" s="1"/>
  <c r="C34" i="11"/>
  <c r="G29" i="17"/>
  <c r="L288" i="11"/>
  <c r="L304" i="11" s="1"/>
  <c r="L79" i="11" s="1"/>
  <c r="H70" i="11"/>
  <c r="H55" i="14"/>
  <c r="H72" i="11" s="1"/>
  <c r="J239" i="11"/>
  <c r="K143" i="11"/>
  <c r="L303" i="11"/>
  <c r="N236" i="11"/>
  <c r="N237" i="11" s="1"/>
  <c r="I218" i="11" l="1"/>
  <c r="I242" i="11" s="1"/>
  <c r="I310" i="11" s="1"/>
  <c r="I110" i="11" s="1"/>
  <c r="L306" i="11"/>
  <c r="M303" i="11" s="1"/>
  <c r="N173" i="11"/>
  <c r="O231" i="11"/>
  <c r="N235" i="11"/>
  <c r="N233" i="11" s="1"/>
  <c r="L143" i="11"/>
  <c r="L96" i="11"/>
  <c r="J104" i="11"/>
  <c r="I175" i="11"/>
  <c r="J221" i="11"/>
  <c r="M285" i="11"/>
  <c r="G33" i="17"/>
  <c r="G34" i="17" s="1"/>
  <c r="C129" i="11"/>
  <c r="C130" i="11" s="1"/>
  <c r="C126" i="11"/>
  <c r="G14" i="11"/>
  <c r="G315" i="11"/>
  <c r="G255" i="11"/>
  <c r="N228" i="11"/>
  <c r="N229" i="11" s="1"/>
  <c r="N227" i="11" s="1"/>
  <c r="H276" i="11"/>
  <c r="H266" i="11"/>
  <c r="H75" i="11"/>
  <c r="G153" i="11"/>
  <c r="G267" i="11"/>
  <c r="H265" i="11"/>
  <c r="G155" i="11"/>
  <c r="G277" i="11"/>
  <c r="H275" i="11"/>
  <c r="M226" i="11"/>
  <c r="M225" i="11" s="1"/>
  <c r="I311" i="11" l="1"/>
  <c r="I217" i="11"/>
  <c r="I241" i="11" s="1"/>
  <c r="I80" i="11" s="1"/>
  <c r="G45" i="17"/>
  <c r="C323" i="11"/>
  <c r="N226" i="11"/>
  <c r="N225" i="11" s="1"/>
  <c r="O223" i="11"/>
  <c r="N172" i="11"/>
  <c r="H314" i="11"/>
  <c r="G179" i="11"/>
  <c r="G182" i="11" s="1"/>
  <c r="G316" i="11"/>
  <c r="G99" i="11" s="1"/>
  <c r="H315" i="11"/>
  <c r="H14" i="11"/>
  <c r="H255" i="11"/>
  <c r="H277" i="11"/>
  <c r="H155" i="11"/>
  <c r="I275" i="11"/>
  <c r="G151" i="11"/>
  <c r="G112" i="11"/>
  <c r="G256" i="11"/>
  <c r="H254" i="11"/>
  <c r="H98" i="11" s="1"/>
  <c r="C272" i="11"/>
  <c r="C271" i="11" s="1"/>
  <c r="J309" i="11"/>
  <c r="I142" i="11"/>
  <c r="I144" i="11" s="1"/>
  <c r="J171" i="11"/>
  <c r="K215" i="11"/>
  <c r="J245" i="11"/>
  <c r="J219" i="11"/>
  <c r="O236" i="11"/>
  <c r="O237" i="11" s="1"/>
  <c r="H153" i="11"/>
  <c r="H267" i="11"/>
  <c r="I265" i="11"/>
  <c r="C131" i="11"/>
  <c r="M288" i="11"/>
  <c r="I41" i="11"/>
  <c r="I39" i="11" s="1"/>
  <c r="I43" i="11" s="1"/>
  <c r="I49" i="11" s="1"/>
  <c r="I111" i="11"/>
  <c r="I4" i="16" s="1"/>
  <c r="I176" i="11"/>
  <c r="I181" i="11"/>
  <c r="I81" i="11" l="1"/>
  <c r="I103" i="11"/>
  <c r="I105" i="11" s="1"/>
  <c r="O173" i="11"/>
  <c r="O235" i="11"/>
  <c r="O233" i="11" s="1"/>
  <c r="N285" i="11"/>
  <c r="M304" i="11"/>
  <c r="J218" i="11"/>
  <c r="J242" i="11" s="1"/>
  <c r="J310" i="11" s="1"/>
  <c r="J243" i="11"/>
  <c r="K239" i="11"/>
  <c r="K220" i="11"/>
  <c r="K244" i="11" s="1"/>
  <c r="I50" i="14"/>
  <c r="I51" i="14" s="1"/>
  <c r="I146" i="11"/>
  <c r="D270" i="11"/>
  <c r="C152" i="11"/>
  <c r="C157" i="11" s="1"/>
  <c r="C166" i="11"/>
  <c r="C167" i="11" s="1"/>
  <c r="C324" i="11"/>
  <c r="D322" i="11" s="1"/>
  <c r="I254" i="11"/>
  <c r="I98" i="11" s="1"/>
  <c r="H256" i="11"/>
  <c r="H151" i="11"/>
  <c r="H112" i="11"/>
  <c r="H179" i="11"/>
  <c r="H182" i="11" s="1"/>
  <c r="H316" i="11"/>
  <c r="H99" i="11" s="1"/>
  <c r="I314" i="11"/>
  <c r="O228" i="11"/>
  <c r="O229" i="11" s="1"/>
  <c r="J217" i="11" l="1"/>
  <c r="J241" i="11" s="1"/>
  <c r="J80" i="11" s="1"/>
  <c r="J103" i="11" s="1"/>
  <c r="J105" i="11" s="1"/>
  <c r="O172" i="11"/>
  <c r="O227" i="11"/>
  <c r="C184" i="11"/>
  <c r="C32" i="11"/>
  <c r="C37" i="11"/>
  <c r="C31" i="11"/>
  <c r="C19" i="11"/>
  <c r="C20" i="11" s="1"/>
  <c r="C158" i="11"/>
  <c r="C18" i="11" s="1"/>
  <c r="J311" i="11"/>
  <c r="J110" i="11"/>
  <c r="D61" i="11"/>
  <c r="D63" i="11" s="1"/>
  <c r="I70" i="11"/>
  <c r="I55" i="14"/>
  <c r="I72" i="11" s="1"/>
  <c r="J175" i="11"/>
  <c r="K104" i="11"/>
  <c r="K221" i="11"/>
  <c r="M79" i="11"/>
  <c r="M306" i="11"/>
  <c r="N288" i="11"/>
  <c r="J81" i="11" l="1"/>
  <c r="H37" i="17"/>
  <c r="D17" i="11"/>
  <c r="H41" i="17" s="1"/>
  <c r="O285" i="11"/>
  <c r="N304" i="11"/>
  <c r="N79" i="11" s="1"/>
  <c r="M96" i="11"/>
  <c r="K309" i="11"/>
  <c r="J142" i="11"/>
  <c r="J144" i="11" s="1"/>
  <c r="O226" i="11"/>
  <c r="O242" i="11" s="1"/>
  <c r="O310" i="11" s="1"/>
  <c r="O243" i="11"/>
  <c r="O225" i="11"/>
  <c r="O241" i="11" s="1"/>
  <c r="O80" i="11" s="1"/>
  <c r="O103" i="11" s="1"/>
  <c r="M143" i="11"/>
  <c r="N303" i="11"/>
  <c r="K245" i="11"/>
  <c r="L215" i="11"/>
  <c r="K171" i="11"/>
  <c r="K219" i="11"/>
  <c r="J176" i="11"/>
  <c r="J181" i="11"/>
  <c r="I276" i="11"/>
  <c r="I75" i="11"/>
  <c r="I266" i="11"/>
  <c r="D77" i="11"/>
  <c r="D83" i="11" s="1"/>
  <c r="J41" i="11"/>
  <c r="J39" i="11" s="1"/>
  <c r="J43" i="11" s="1"/>
  <c r="J49" i="11" s="1"/>
  <c r="J111" i="11"/>
  <c r="J4" i="16" s="1"/>
  <c r="N306" i="11" l="1"/>
  <c r="D85" i="11"/>
  <c r="D86" i="11" s="1"/>
  <c r="H39" i="17" s="1"/>
  <c r="I315" i="11"/>
  <c r="I14" i="11"/>
  <c r="I255" i="11"/>
  <c r="K243" i="11"/>
  <c r="K218" i="11"/>
  <c r="K242" i="11" s="1"/>
  <c r="K310" i="11" s="1"/>
  <c r="L239" i="11"/>
  <c r="L220" i="11"/>
  <c r="L244" i="11" s="1"/>
  <c r="N143" i="11"/>
  <c r="O303" i="11"/>
  <c r="O110" i="11"/>
  <c r="J265" i="11"/>
  <c r="I153" i="11"/>
  <c r="I267" i="11"/>
  <c r="I155" i="11"/>
  <c r="J275" i="11"/>
  <c r="I277" i="11"/>
  <c r="J146" i="11"/>
  <c r="J50" i="14"/>
  <c r="J51" i="14" s="1"/>
  <c r="N96" i="11"/>
  <c r="O288" i="11"/>
  <c r="O304" i="11" s="1"/>
  <c r="O79" i="11" s="1"/>
  <c r="D36" i="11" l="1"/>
  <c r="H42" i="17" s="1"/>
  <c r="D95" i="11"/>
  <c r="D97" i="11" s="1"/>
  <c r="H40" i="17" s="1"/>
  <c r="D328" i="11"/>
  <c r="D15" i="11"/>
  <c r="D35" i="11" s="1"/>
  <c r="H43" i="17" s="1"/>
  <c r="O81" i="11"/>
  <c r="O96" i="11"/>
  <c r="O41" i="11"/>
  <c r="O39" i="11" s="1"/>
  <c r="O43" i="11" s="1"/>
  <c r="O49" i="11" s="1"/>
  <c r="O111" i="11"/>
  <c r="O4" i="16" s="1"/>
  <c r="J70" i="11"/>
  <c r="J55" i="14"/>
  <c r="J72" i="11" s="1"/>
  <c r="O306" i="11"/>
  <c r="O143" i="11" s="1"/>
  <c r="L221" i="11"/>
  <c r="K217" i="11"/>
  <c r="K241" i="11" s="1"/>
  <c r="K80" i="11" s="1"/>
  <c r="L104" i="11"/>
  <c r="K175" i="11"/>
  <c r="K311" i="11"/>
  <c r="K110" i="11"/>
  <c r="I256" i="11"/>
  <c r="J254" i="11"/>
  <c r="J98" i="11" s="1"/>
  <c r="I151" i="11"/>
  <c r="I112" i="11"/>
  <c r="J314" i="11"/>
  <c r="I316" i="11"/>
  <c r="I99" i="11" s="1"/>
  <c r="I179" i="11"/>
  <c r="I182" i="11" s="1"/>
  <c r="M215" i="11" l="1"/>
  <c r="L245" i="11"/>
  <c r="L171" i="11"/>
  <c r="L219" i="11"/>
  <c r="K41" i="11"/>
  <c r="K39" i="11" s="1"/>
  <c r="K43" i="11" s="1"/>
  <c r="K49" i="11" s="1"/>
  <c r="K111" i="11"/>
  <c r="K4" i="16" s="1"/>
  <c r="K181" i="11"/>
  <c r="K176" i="11"/>
  <c r="K103" i="11"/>
  <c r="K105" i="11" s="1"/>
  <c r="K81" i="11"/>
  <c r="D164" i="11"/>
  <c r="D329" i="11"/>
  <c r="E327" i="11" s="1"/>
  <c r="L309" i="11"/>
  <c r="K142" i="11"/>
  <c r="K144" i="11" s="1"/>
  <c r="J276" i="11"/>
  <c r="J75" i="11"/>
  <c r="J266" i="11"/>
  <c r="D3" i="16"/>
  <c r="D5" i="16" s="1"/>
  <c r="D16" i="11"/>
  <c r="D100" i="11"/>
  <c r="J153" i="11" l="1"/>
  <c r="J267" i="11"/>
  <c r="K265" i="11"/>
  <c r="D106" i="11"/>
  <c r="D33" i="11"/>
  <c r="H44" i="17" s="1"/>
  <c r="J14" i="11"/>
  <c r="J315" i="11"/>
  <c r="J255" i="11"/>
  <c r="M239" i="11"/>
  <c r="M220" i="11"/>
  <c r="M244" i="11" s="1"/>
  <c r="K275" i="11"/>
  <c r="J277" i="11"/>
  <c r="J155" i="11"/>
  <c r="K50" i="14"/>
  <c r="K51" i="14" s="1"/>
  <c r="K146" i="11"/>
  <c r="L243" i="11"/>
  <c r="L218" i="11"/>
  <c r="L242" i="11" s="1"/>
  <c r="L310" i="11" s="1"/>
  <c r="L217" i="11" l="1"/>
  <c r="L241" i="11" s="1"/>
  <c r="L80" i="11" s="1"/>
  <c r="L103" i="11" s="1"/>
  <c r="L105" i="11" s="1"/>
  <c r="L110" i="11"/>
  <c r="L311" i="11"/>
  <c r="M104" i="11"/>
  <c r="L175" i="11"/>
  <c r="M221" i="11"/>
  <c r="K254" i="11"/>
  <c r="K98" i="11" s="1"/>
  <c r="J151" i="11"/>
  <c r="J112" i="11"/>
  <c r="J256" i="11"/>
  <c r="H29" i="17"/>
  <c r="D34" i="11"/>
  <c r="D113" i="11"/>
  <c r="D123" i="11" s="1"/>
  <c r="K70" i="11"/>
  <c r="K55" i="14"/>
  <c r="K72" i="11" s="1"/>
  <c r="K314" i="11"/>
  <c r="J179" i="11"/>
  <c r="J182" i="11" s="1"/>
  <c r="J316" i="11"/>
  <c r="J99" i="11" s="1"/>
  <c r="L81" i="11" l="1"/>
  <c r="K276" i="11"/>
  <c r="K75" i="11"/>
  <c r="K266" i="11"/>
  <c r="D129" i="11"/>
  <c r="D130" i="11" s="1"/>
  <c r="D126" i="11"/>
  <c r="H33" i="17"/>
  <c r="H34" i="17" s="1"/>
  <c r="M171" i="11"/>
  <c r="N215" i="11"/>
  <c r="M245" i="11"/>
  <c r="M219" i="11"/>
  <c r="M309" i="11"/>
  <c r="L142" i="11"/>
  <c r="L144" i="11" s="1"/>
  <c r="L181" i="11"/>
  <c r="L176" i="11"/>
  <c r="L41" i="11"/>
  <c r="L39" i="11" s="1"/>
  <c r="L43" i="11" s="1"/>
  <c r="L49" i="11" s="1"/>
  <c r="L111" i="11"/>
  <c r="L4" i="16" s="1"/>
  <c r="D272" i="11" l="1"/>
  <c r="D271" i="11" s="1"/>
  <c r="D152" i="11" s="1"/>
  <c r="D157" i="11" s="1"/>
  <c r="D131" i="11"/>
  <c r="K315" i="11"/>
  <c r="K255" i="11"/>
  <c r="K14" i="11"/>
  <c r="L50" i="14"/>
  <c r="L51" i="14" s="1"/>
  <c r="L146" i="11"/>
  <c r="M243" i="11"/>
  <c r="M218" i="11"/>
  <c r="M242" i="11" s="1"/>
  <c r="M310" i="11" s="1"/>
  <c r="N239" i="11"/>
  <c r="N220" i="11"/>
  <c r="N244" i="11" s="1"/>
  <c r="H45" i="17"/>
  <c r="D323" i="11"/>
  <c r="K267" i="11"/>
  <c r="L265" i="11"/>
  <c r="K153" i="11"/>
  <c r="L275" i="11"/>
  <c r="K155" i="11"/>
  <c r="K277" i="11"/>
  <c r="E270" i="11" l="1"/>
  <c r="E61" i="11" s="1"/>
  <c r="E63" i="11" s="1"/>
  <c r="D166" i="11"/>
  <c r="D167" i="11" s="1"/>
  <c r="D324" i="11"/>
  <c r="E322" i="11" s="1"/>
  <c r="M311" i="11"/>
  <c r="M110" i="11"/>
  <c r="L70" i="11"/>
  <c r="L55" i="14"/>
  <c r="L72" i="11" s="1"/>
  <c r="K112" i="11"/>
  <c r="L254" i="11"/>
  <c r="L98" i="11" s="1"/>
  <c r="K151" i="11"/>
  <c r="K256" i="11"/>
  <c r="D19" i="11"/>
  <c r="D20" i="11" s="1"/>
  <c r="D31" i="11"/>
  <c r="D158" i="11"/>
  <c r="D18" i="11" s="1"/>
  <c r="N104" i="11"/>
  <c r="M175" i="11"/>
  <c r="N221" i="11"/>
  <c r="M217" i="11"/>
  <c r="M241" i="11" s="1"/>
  <c r="M80" i="11" s="1"/>
  <c r="K179" i="11"/>
  <c r="K182" i="11" s="1"/>
  <c r="K316" i="11"/>
  <c r="K99" i="11" s="1"/>
  <c r="L314" i="11"/>
  <c r="E17" i="11" l="1"/>
  <c r="I41" i="17" s="1"/>
  <c r="I37" i="17"/>
  <c r="E77" i="11"/>
  <c r="E83" i="11" s="1"/>
  <c r="N171" i="11"/>
  <c r="O215" i="11"/>
  <c r="N245" i="11"/>
  <c r="N219" i="11"/>
  <c r="M41" i="11"/>
  <c r="M39" i="11" s="1"/>
  <c r="M43" i="11" s="1"/>
  <c r="M49" i="11" s="1"/>
  <c r="M111" i="11"/>
  <c r="M4" i="16" s="1"/>
  <c r="M103" i="11"/>
  <c r="M105" i="11" s="1"/>
  <c r="M81" i="11"/>
  <c r="M176" i="11"/>
  <c r="M181" i="11"/>
  <c r="L276" i="11"/>
  <c r="L75" i="11"/>
  <c r="L266" i="11"/>
  <c r="N309" i="11"/>
  <c r="M142" i="11"/>
  <c r="M144" i="11" s="1"/>
  <c r="D184" i="11"/>
  <c r="D32" i="11"/>
  <c r="D37" i="11"/>
  <c r="M50" i="14" l="1"/>
  <c r="M51" i="14" s="1"/>
  <c r="M146" i="11"/>
  <c r="M265" i="11"/>
  <c r="L267" i="11"/>
  <c r="L153" i="11"/>
  <c r="M275" i="11"/>
  <c r="L155" i="11"/>
  <c r="L277" i="11"/>
  <c r="E85" i="11"/>
  <c r="E86" i="11" s="1"/>
  <c r="I39" i="17" s="1"/>
  <c r="L14" i="11"/>
  <c r="L255" i="11"/>
  <c r="L315" i="11"/>
  <c r="N243" i="11"/>
  <c r="N218" i="11"/>
  <c r="N242" i="11" s="1"/>
  <c r="N310" i="11" s="1"/>
  <c r="O239" i="11"/>
  <c r="O220" i="11"/>
  <c r="O244" i="11" s="1"/>
  <c r="O221" i="11" l="1"/>
  <c r="O245" i="11" s="1"/>
  <c r="E15" i="11"/>
  <c r="E35" i="11" s="1"/>
  <c r="I43" i="17" s="1"/>
  <c r="E328" i="11"/>
  <c r="E36" i="11"/>
  <c r="I42" i="17" s="1"/>
  <c r="E95" i="11"/>
  <c r="E97" i="11" s="1"/>
  <c r="I40" i="17" s="1"/>
  <c r="N175" i="11"/>
  <c r="O104" i="11"/>
  <c r="O105" i="11" s="1"/>
  <c r="L112" i="11"/>
  <c r="M254" i="11"/>
  <c r="M98" i="11" s="1"/>
  <c r="L151" i="11"/>
  <c r="L256" i="11"/>
  <c r="N110" i="11"/>
  <c r="N311" i="11"/>
  <c r="N217" i="11"/>
  <c r="N241" i="11" s="1"/>
  <c r="N80" i="11" s="1"/>
  <c r="L179" i="11"/>
  <c r="L182" i="11" s="1"/>
  <c r="M314" i="11"/>
  <c r="L316" i="11"/>
  <c r="L99" i="11" s="1"/>
  <c r="M70" i="11"/>
  <c r="M55" i="14"/>
  <c r="M72" i="11" s="1"/>
  <c r="O171" i="11" l="1"/>
  <c r="O176" i="11" s="1"/>
  <c r="M276" i="11"/>
  <c r="M75" i="11"/>
  <c r="M266" i="11"/>
  <c r="N103" i="11"/>
  <c r="N105" i="11" s="1"/>
  <c r="N81" i="11"/>
  <c r="N41" i="11"/>
  <c r="N39" i="11" s="1"/>
  <c r="N43" i="11" s="1"/>
  <c r="N49" i="11" s="1"/>
  <c r="N111" i="11"/>
  <c r="N4" i="16" s="1"/>
  <c r="N176" i="11"/>
  <c r="N181" i="11"/>
  <c r="E3" i="16"/>
  <c r="E5" i="16" s="1"/>
  <c r="E16" i="11"/>
  <c r="E100" i="11"/>
  <c r="E164" i="11"/>
  <c r="E329" i="11"/>
  <c r="F327" i="11" s="1"/>
  <c r="O309" i="11"/>
  <c r="O311" i="11" s="1"/>
  <c r="O142" i="11" s="1"/>
  <c r="O144" i="11" s="1"/>
  <c r="N142" i="11"/>
  <c r="N144" i="11" s="1"/>
  <c r="E106" i="11" l="1"/>
  <c r="E33" i="11"/>
  <c r="I44" i="17" s="1"/>
  <c r="N265" i="11"/>
  <c r="M267" i="11"/>
  <c r="M153" i="11"/>
  <c r="M155" i="11"/>
  <c r="N275" i="11"/>
  <c r="M277" i="11"/>
  <c r="N146" i="11"/>
  <c r="N50" i="14"/>
  <c r="N51" i="14" s="1"/>
  <c r="O50" i="14"/>
  <c r="O51" i="14" s="1"/>
  <c r="O146" i="11"/>
  <c r="M315" i="11"/>
  <c r="M14" i="11"/>
  <c r="M255" i="11"/>
  <c r="M151" i="11" l="1"/>
  <c r="M112" i="11"/>
  <c r="N254" i="11"/>
  <c r="N98" i="11" s="1"/>
  <c r="M256" i="11"/>
  <c r="M179" i="11"/>
  <c r="M182" i="11" s="1"/>
  <c r="N314" i="11"/>
  <c r="M316" i="11"/>
  <c r="M99" i="11" s="1"/>
  <c r="O70" i="11"/>
  <c r="O55" i="14"/>
  <c r="O72" i="11" s="1"/>
  <c r="N70" i="11"/>
  <c r="N55" i="14"/>
  <c r="N72" i="11" s="1"/>
  <c r="E34" i="11"/>
  <c r="I29" i="17"/>
  <c r="E113" i="11"/>
  <c r="E123" i="11" s="1"/>
  <c r="E129" i="11" l="1"/>
  <c r="E130" i="11" s="1"/>
  <c r="E126" i="11"/>
  <c r="I33" i="17"/>
  <c r="I34" i="17" s="1"/>
  <c r="N276" i="11"/>
  <c r="N266" i="11"/>
  <c r="N75" i="11"/>
  <c r="O276" i="11"/>
  <c r="O266" i="11"/>
  <c r="O75" i="11"/>
  <c r="O153" i="11" l="1"/>
  <c r="N14" i="11"/>
  <c r="N255" i="11"/>
  <c r="N315" i="11"/>
  <c r="O14" i="11"/>
  <c r="O315" i="11"/>
  <c r="O255" i="11"/>
  <c r="O155" i="11"/>
  <c r="N153" i="11"/>
  <c r="N267" i="11"/>
  <c r="O265" i="11"/>
  <c r="O267" i="11" s="1"/>
  <c r="E272" i="11"/>
  <c r="E271" i="11" s="1"/>
  <c r="N277" i="11"/>
  <c r="N155" i="11"/>
  <c r="O275" i="11"/>
  <c r="O277" i="11" s="1"/>
  <c r="I45" i="17"/>
  <c r="E323" i="11"/>
  <c r="E131" i="11"/>
  <c r="E152" i="11" l="1"/>
  <c r="E157" i="11" s="1"/>
  <c r="F270" i="11"/>
  <c r="O151" i="11"/>
  <c r="O112" i="11"/>
  <c r="N112" i="11"/>
  <c r="N256" i="11"/>
  <c r="O254" i="11"/>
  <c r="O98" i="11" s="1"/>
  <c r="N151" i="11"/>
  <c r="E166" i="11"/>
  <c r="E167" i="11" s="1"/>
  <c r="E324" i="11"/>
  <c r="F322" i="11" s="1"/>
  <c r="O179" i="11"/>
  <c r="O182" i="11" s="1"/>
  <c r="N179" i="11"/>
  <c r="N182" i="11" s="1"/>
  <c r="O314" i="11"/>
  <c r="O316" i="11" s="1"/>
  <c r="O99" i="11" s="1"/>
  <c r="N316" i="11"/>
  <c r="N99" i="11" s="1"/>
  <c r="E184" i="11" l="1"/>
  <c r="E32" i="11"/>
  <c r="E37" i="11"/>
  <c r="O256" i="11"/>
  <c r="E19" i="11"/>
  <c r="E20" i="11" s="1"/>
  <c r="E31" i="11"/>
  <c r="E158" i="11"/>
  <c r="E18" i="11" s="1"/>
  <c r="F61" i="11"/>
  <c r="F63" i="11" s="1"/>
  <c r="J37" i="17" l="1"/>
  <c r="F17" i="11"/>
  <c r="J41" i="17" s="1"/>
  <c r="F77" i="11"/>
  <c r="F83" i="11" s="1"/>
  <c r="F85" i="11" l="1"/>
  <c r="F86" i="11" s="1"/>
  <c r="J39" i="17" s="1"/>
  <c r="F328" i="11" l="1"/>
  <c r="F95" i="11"/>
  <c r="F97" i="11" s="1"/>
  <c r="J40" i="17" s="1"/>
  <c r="F36" i="11"/>
  <c r="J42" i="17" s="1"/>
  <c r="F15" i="11"/>
  <c r="F35" i="11" s="1"/>
  <c r="J43" i="17" s="1"/>
  <c r="F16" i="11" l="1"/>
  <c r="F3" i="16"/>
  <c r="F5" i="16" s="1"/>
  <c r="F100" i="11"/>
  <c r="F164" i="11"/>
  <c r="F329" i="11"/>
  <c r="G327" i="11" s="1"/>
  <c r="F33" i="11" l="1"/>
  <c r="J44" i="17" s="1"/>
  <c r="F106" i="11"/>
  <c r="F113" i="11" l="1"/>
  <c r="F123" i="11" s="1"/>
  <c r="F34" i="11"/>
  <c r="J29" i="17"/>
  <c r="J33" i="17" l="1"/>
  <c r="J34" i="17" s="1"/>
  <c r="L34" i="17" s="1"/>
  <c r="L29" i="17"/>
  <c r="L33" i="17" s="1"/>
  <c r="F129" i="11"/>
  <c r="F130" i="11" s="1"/>
  <c r="F126" i="11"/>
  <c r="F131" i="11" l="1"/>
  <c r="F272" i="11"/>
  <c r="F271" i="11" s="1"/>
  <c r="J45" i="17"/>
  <c r="L45" i="17" s="1"/>
  <c r="F323" i="11"/>
  <c r="F166" i="11" l="1"/>
  <c r="F167" i="11" s="1"/>
  <c r="F324" i="11"/>
  <c r="G322" i="11" s="1"/>
  <c r="G270" i="11"/>
  <c r="F152" i="11"/>
  <c r="F157" i="11" s="1"/>
  <c r="F19" i="11" l="1"/>
  <c r="F20" i="11" s="1"/>
  <c r="F31" i="11"/>
  <c r="F158" i="11"/>
  <c r="F18" i="11" s="1"/>
  <c r="G61" i="11"/>
  <c r="G63" i="11" s="1"/>
  <c r="G17" i="11" s="1"/>
  <c r="F184" i="11"/>
  <c r="F32" i="11"/>
  <c r="F37" i="11"/>
  <c r="G77" i="11" l="1"/>
  <c r="G83" i="11" s="1"/>
  <c r="G85" i="11" l="1"/>
  <c r="G86" i="11" s="1"/>
  <c r="G328" i="11" l="1"/>
  <c r="G95" i="11"/>
  <c r="G97" i="11" s="1"/>
  <c r="G15" i="11"/>
  <c r="G35" i="11" s="1"/>
  <c r="G36" i="11"/>
  <c r="G16" i="11" l="1"/>
  <c r="G3" i="16"/>
  <c r="G5" i="16" s="1"/>
  <c r="G100" i="11"/>
  <c r="G164" i="11"/>
  <c r="G329" i="11"/>
  <c r="H327" i="11" s="1"/>
  <c r="G106" i="11" l="1"/>
  <c r="G33" i="11"/>
  <c r="G113" i="11" l="1"/>
  <c r="G123" i="11" s="1"/>
  <c r="G34" i="11"/>
  <c r="G126" i="11" l="1"/>
  <c r="G129" i="11"/>
  <c r="G130" i="11" l="1"/>
  <c r="G323" i="11" s="1"/>
  <c r="G324" i="11" s="1"/>
  <c r="H322" i="11" s="1"/>
  <c r="G272" i="11"/>
  <c r="G271" i="11" s="1"/>
  <c r="G152" i="11" s="1"/>
  <c r="G157" i="11" s="1"/>
  <c r="G166" i="11" l="1"/>
  <c r="G167" i="11" s="1"/>
  <c r="G184" i="11" s="1"/>
  <c r="G131" i="11"/>
  <c r="H270" i="11"/>
  <c r="H61" i="11" s="1"/>
  <c r="H63" i="11" s="1"/>
  <c r="H17" i="11" s="1"/>
  <c r="G31" i="11"/>
  <c r="G19" i="11"/>
  <c r="G20" i="11" s="1"/>
  <c r="G158" i="11"/>
  <c r="G18" i="11" s="1"/>
  <c r="G32" i="11" l="1"/>
  <c r="G37" i="11"/>
  <c r="H77" i="11"/>
  <c r="H83" i="11" s="1"/>
  <c r="H85" i="11" l="1"/>
  <c r="H86" i="11" s="1"/>
  <c r="H15" i="11" l="1"/>
  <c r="H35" i="11" s="1"/>
  <c r="H328" i="11"/>
  <c r="H95" i="11"/>
  <c r="H97" i="11" s="1"/>
  <c r="H36" i="11"/>
  <c r="H164" i="11" l="1"/>
  <c r="H329" i="11"/>
  <c r="I327" i="11" s="1"/>
  <c r="H16" i="11"/>
  <c r="H3" i="16"/>
  <c r="H5" i="16" s="1"/>
  <c r="H100" i="11"/>
  <c r="H33" i="11" l="1"/>
  <c r="H106" i="11"/>
  <c r="H34" i="11" l="1"/>
  <c r="H113" i="11"/>
  <c r="H123" i="11" s="1"/>
  <c r="H126" i="11" l="1"/>
  <c r="H129" i="11"/>
  <c r="H130" i="11" s="1"/>
  <c r="H323" i="11" s="1"/>
  <c r="H166" i="11" l="1"/>
  <c r="H167" i="11" s="1"/>
  <c r="H324" i="11"/>
  <c r="I322" i="11" s="1"/>
  <c r="H131" i="11"/>
  <c r="H272" i="11"/>
  <c r="H271" i="11" s="1"/>
  <c r="H152" i="11" l="1"/>
  <c r="H157" i="11" s="1"/>
  <c r="I270" i="11"/>
  <c r="H184" i="11"/>
  <c r="H32" i="11"/>
  <c r="H37" i="11"/>
  <c r="I61" i="11" l="1"/>
  <c r="I63" i="11" s="1"/>
  <c r="I17" i="11" s="1"/>
  <c r="H19" i="11"/>
  <c r="H20" i="11" s="1"/>
  <c r="H31" i="11"/>
  <c r="H158" i="11"/>
  <c r="H18" i="11" s="1"/>
  <c r="I77" i="11" l="1"/>
  <c r="I83" i="11" s="1"/>
  <c r="I85" i="11" l="1"/>
  <c r="I86" i="11" s="1"/>
  <c r="I328" i="11" l="1"/>
  <c r="I15" i="11"/>
  <c r="I35" i="11" s="1"/>
  <c r="I36" i="11"/>
  <c r="I95" i="11"/>
  <c r="I97" i="11" s="1"/>
  <c r="I3" i="16" l="1"/>
  <c r="I5" i="16" s="1"/>
  <c r="I16" i="11"/>
  <c r="I100" i="11"/>
  <c r="I164" i="11"/>
  <c r="I329" i="11"/>
  <c r="J327" i="11" s="1"/>
  <c r="I106" i="11" l="1"/>
  <c r="I33" i="11"/>
  <c r="I34" i="11" l="1"/>
  <c r="I113" i="11"/>
  <c r="I123" i="11" s="1"/>
  <c r="I129" i="11" l="1"/>
  <c r="I130" i="11" s="1"/>
  <c r="I323" i="11" s="1"/>
  <c r="I126" i="11"/>
  <c r="I272" i="11" l="1"/>
  <c r="I271" i="11" s="1"/>
  <c r="J270" i="11" s="1"/>
  <c r="I166" i="11"/>
  <c r="I167" i="11" s="1"/>
  <c r="I324" i="11"/>
  <c r="J322" i="11" s="1"/>
  <c r="I131" i="11"/>
  <c r="I152" i="11" l="1"/>
  <c r="I157" i="11" s="1"/>
  <c r="I19" i="11" s="1"/>
  <c r="I20" i="11" s="1"/>
  <c r="J61" i="11"/>
  <c r="J63" i="11" s="1"/>
  <c r="J17" i="11" s="1"/>
  <c r="I184" i="11"/>
  <c r="I32" i="11"/>
  <c r="I37" i="11"/>
  <c r="I158" i="11" l="1"/>
  <c r="I18" i="11" s="1"/>
  <c r="I31" i="11"/>
  <c r="J77" i="11"/>
  <c r="J83" i="11" s="1"/>
  <c r="J85" i="11" l="1"/>
  <c r="J86" i="11" s="1"/>
  <c r="J36" i="11" l="1"/>
  <c r="J95" i="11"/>
  <c r="J97" i="11" s="1"/>
  <c r="J15" i="11"/>
  <c r="J35" i="11" s="1"/>
  <c r="J328" i="11"/>
  <c r="J16" i="11" l="1"/>
  <c r="J3" i="16"/>
  <c r="J5" i="16" s="1"/>
  <c r="J100" i="11"/>
  <c r="J164" i="11"/>
  <c r="J329" i="11"/>
  <c r="K327" i="11" s="1"/>
  <c r="J33" i="11" l="1"/>
  <c r="J106" i="11"/>
  <c r="J113" i="11" l="1"/>
  <c r="J123" i="11" s="1"/>
  <c r="J34" i="11"/>
  <c r="J129" i="11" l="1"/>
  <c r="J130" i="11" s="1"/>
  <c r="J323" i="11" s="1"/>
  <c r="J126" i="11"/>
  <c r="J131" i="11" l="1"/>
  <c r="J272" i="11"/>
  <c r="J271" i="11" s="1"/>
  <c r="J166" i="11"/>
  <c r="J167" i="11" s="1"/>
  <c r="J324" i="11"/>
  <c r="K322" i="11" s="1"/>
  <c r="J184" i="11" l="1"/>
  <c r="J32" i="11"/>
  <c r="J37" i="11"/>
  <c r="J152" i="11"/>
  <c r="J157" i="11" s="1"/>
  <c r="K270" i="11"/>
  <c r="J19" i="11" l="1"/>
  <c r="J20" i="11" s="1"/>
  <c r="J31" i="11"/>
  <c r="J158" i="11"/>
  <c r="J18" i="11" s="1"/>
  <c r="K61" i="11"/>
  <c r="K63" i="11" s="1"/>
  <c r="K17" i="11" s="1"/>
  <c r="K77" i="11" l="1"/>
  <c r="K83" i="11" s="1"/>
  <c r="K85" i="11" l="1"/>
  <c r="K86" i="11" s="1"/>
  <c r="K328" i="11" l="1"/>
  <c r="K36" i="11"/>
  <c r="K15" i="11"/>
  <c r="K35" i="11" s="1"/>
  <c r="K95" i="11"/>
  <c r="K97" i="11" s="1"/>
  <c r="K16" i="11" l="1"/>
  <c r="K3" i="16"/>
  <c r="K5" i="16" s="1"/>
  <c r="K100" i="11"/>
  <c r="K164" i="11"/>
  <c r="K329" i="11"/>
  <c r="L327" i="11" s="1"/>
  <c r="K106" i="11" l="1"/>
  <c r="K33" i="11"/>
  <c r="K113" i="11" l="1"/>
  <c r="K123" i="11" s="1"/>
  <c r="K34" i="11"/>
  <c r="K126" i="11" l="1"/>
  <c r="K129" i="11"/>
  <c r="K130" i="11" l="1"/>
  <c r="K323" i="11" s="1"/>
  <c r="K324" i="11" s="1"/>
  <c r="L322" i="11" s="1"/>
  <c r="K272" i="11"/>
  <c r="K271" i="11" s="1"/>
  <c r="K166" i="11" l="1"/>
  <c r="K167" i="11" s="1"/>
  <c r="K32" i="11" s="1"/>
  <c r="K131" i="11"/>
  <c r="K152" i="11"/>
  <c r="K157" i="11" s="1"/>
  <c r="L270" i="11"/>
  <c r="K184" i="11" l="1"/>
  <c r="K37" i="11"/>
  <c r="L61" i="11"/>
  <c r="L63" i="11" s="1"/>
  <c r="L17" i="11" s="1"/>
  <c r="K19" i="11"/>
  <c r="K20" i="11" s="1"/>
  <c r="K31" i="11"/>
  <c r="K158" i="11"/>
  <c r="K18" i="11" s="1"/>
  <c r="L77" i="11" l="1"/>
  <c r="L83" i="11" s="1"/>
  <c r="L85" i="11" l="1"/>
  <c r="L86" i="11" s="1"/>
  <c r="L36" i="11" l="1"/>
  <c r="L95" i="11"/>
  <c r="L97" i="11" s="1"/>
  <c r="L15" i="11"/>
  <c r="L35" i="11" s="1"/>
  <c r="L328" i="11"/>
  <c r="L164" i="11" l="1"/>
  <c r="L329" i="11"/>
  <c r="M327" i="11" s="1"/>
  <c r="L16" i="11"/>
  <c r="L3" i="16"/>
  <c r="L5" i="16" s="1"/>
  <c r="L100" i="11"/>
  <c r="L33" i="11" l="1"/>
  <c r="L106" i="11"/>
  <c r="L113" i="11" l="1"/>
  <c r="L123" i="11" s="1"/>
  <c r="L34" i="11"/>
  <c r="L126" i="11" l="1"/>
  <c r="L129" i="11"/>
  <c r="L130" i="11" l="1"/>
  <c r="L323" i="11" s="1"/>
  <c r="L324" i="11" s="1"/>
  <c r="M322" i="11" s="1"/>
  <c r="L272" i="11"/>
  <c r="L271" i="11" s="1"/>
  <c r="M270" i="11" s="1"/>
  <c r="L166" i="11" l="1"/>
  <c r="L167" i="11" s="1"/>
  <c r="L184" i="11" s="1"/>
  <c r="L131" i="11"/>
  <c r="L152" i="11"/>
  <c r="L157" i="11" s="1"/>
  <c r="L19" i="11" s="1"/>
  <c r="L20" i="11" s="1"/>
  <c r="M61" i="11"/>
  <c r="M63" i="11" s="1"/>
  <c r="M17" i="11" s="1"/>
  <c r="L37" i="11" l="1"/>
  <c r="L32" i="11"/>
  <c r="L31" i="11"/>
  <c r="L158" i="11"/>
  <c r="L18" i="11" s="1"/>
  <c r="M77" i="11"/>
  <c r="M83" i="11" s="1"/>
  <c r="M85" i="11" l="1"/>
  <c r="M86" i="11" s="1"/>
  <c r="M15" i="11" l="1"/>
  <c r="M35" i="11" s="1"/>
  <c r="M36" i="11"/>
  <c r="M328" i="11"/>
  <c r="M95" i="11"/>
  <c r="M97" i="11" s="1"/>
  <c r="M164" i="11" l="1"/>
  <c r="M329" i="11"/>
  <c r="N327" i="11" s="1"/>
  <c r="M3" i="16"/>
  <c r="M5" i="16" s="1"/>
  <c r="M16" i="11"/>
  <c r="M100" i="11"/>
  <c r="M106" i="11" l="1"/>
  <c r="M33" i="11"/>
  <c r="M34" i="11" l="1"/>
  <c r="M113" i="11"/>
  <c r="M123" i="11" s="1"/>
  <c r="M126" i="11" l="1"/>
  <c r="M129" i="11"/>
  <c r="M130" i="11" s="1"/>
  <c r="M323" i="11" s="1"/>
  <c r="M131" i="11" l="1"/>
  <c r="M166" i="11"/>
  <c r="M167" i="11" s="1"/>
  <c r="M324" i="11"/>
  <c r="N322" i="11" s="1"/>
  <c r="M272" i="11"/>
  <c r="M271" i="11" s="1"/>
  <c r="M152" i="11" l="1"/>
  <c r="M157" i="11" s="1"/>
  <c r="N270" i="11"/>
  <c r="M184" i="11"/>
  <c r="M32" i="11"/>
  <c r="M37" i="11"/>
  <c r="M31" i="11" l="1"/>
  <c r="M19" i="11"/>
  <c r="M20" i="11" s="1"/>
  <c r="M158" i="11"/>
  <c r="M18" i="11" s="1"/>
  <c r="N61" i="11"/>
  <c r="N63" i="11" s="1"/>
  <c r="N17" i="11" s="1"/>
  <c r="N77" i="11" l="1"/>
  <c r="N83" i="11" s="1"/>
  <c r="N85" i="11" l="1"/>
  <c r="N86" i="11" s="1"/>
  <c r="N15" i="11" l="1"/>
  <c r="N35" i="11" s="1"/>
  <c r="N36" i="11"/>
  <c r="N95" i="11"/>
  <c r="N97" i="11" s="1"/>
  <c r="N328" i="11"/>
  <c r="N164" i="11" l="1"/>
  <c r="N329" i="11"/>
  <c r="O327" i="11" s="1"/>
  <c r="N16" i="11"/>
  <c r="N3" i="16"/>
  <c r="N5" i="16" s="1"/>
  <c r="N100" i="11"/>
  <c r="N106" i="11" l="1"/>
  <c r="N33" i="11"/>
  <c r="N113" i="11" l="1"/>
  <c r="N123" i="11" s="1"/>
  <c r="N34" i="11"/>
  <c r="N126" i="11" l="1"/>
  <c r="N129" i="11"/>
  <c r="N130" i="11" s="1"/>
  <c r="N323" i="11" s="1"/>
  <c r="N166" i="11" l="1"/>
  <c r="N167" i="11" s="1"/>
  <c r="N324" i="11"/>
  <c r="O322" i="11" s="1"/>
  <c r="N131" i="11"/>
  <c r="N272" i="11"/>
  <c r="N271" i="11" s="1"/>
  <c r="O270" i="11" l="1"/>
  <c r="N152" i="11"/>
  <c r="N157" i="11" s="1"/>
  <c r="N184" i="11"/>
  <c r="N32" i="11"/>
  <c r="N37" i="11"/>
  <c r="N31" i="11" l="1"/>
  <c r="N19" i="11"/>
  <c r="N20" i="11" s="1"/>
  <c r="N158" i="11"/>
  <c r="N18" i="11" s="1"/>
  <c r="O61" i="11"/>
  <c r="O63" i="11" s="1"/>
  <c r="O17" i="11" s="1"/>
  <c r="O77" i="11" l="1"/>
  <c r="O83" i="11" s="1"/>
  <c r="O85" i="11" l="1"/>
  <c r="O86" i="11" s="1"/>
  <c r="O328" i="11" l="1"/>
  <c r="O36" i="11"/>
  <c r="O95" i="11"/>
  <c r="O97" i="11" s="1"/>
  <c r="O15" i="11"/>
  <c r="O35" i="11" s="1"/>
  <c r="B11" i="16" l="1"/>
  <c r="B10" i="16"/>
  <c r="B18" i="17" s="1"/>
  <c r="O3" i="16"/>
  <c r="O5" i="16" s="1"/>
  <c r="O16" i="11"/>
  <c r="O100" i="11"/>
  <c r="O164" i="11"/>
  <c r="O329" i="11"/>
  <c r="O33" i="11" l="1"/>
  <c r="O106" i="11"/>
  <c r="O34" i="11" l="1"/>
  <c r="O113" i="11"/>
  <c r="O123" i="11" s="1"/>
  <c r="O126" i="11" l="1"/>
  <c r="O129" i="11"/>
  <c r="O130" i="11" l="1"/>
  <c r="O323" i="11" s="1"/>
  <c r="O324" i="11" s="1"/>
  <c r="O272" i="11"/>
  <c r="O271" i="11" s="1"/>
  <c r="O152" i="11" s="1"/>
  <c r="O157" i="11" s="1"/>
  <c r="O166" i="11" l="1"/>
  <c r="O167" i="11" s="1"/>
  <c r="O32" i="11" s="1"/>
  <c r="O131" i="11"/>
  <c r="O31" i="11"/>
  <c r="O19" i="11"/>
  <c r="O20" i="11" s="1"/>
  <c r="O158" i="11"/>
  <c r="O18" i="11" s="1"/>
  <c r="O184" i="11" l="1"/>
  <c r="O37" i="11"/>
</calcChain>
</file>

<file path=xl/sharedStrings.xml><?xml version="1.0" encoding="utf-8"?>
<sst xmlns="http://schemas.openxmlformats.org/spreadsheetml/2006/main" count="477" uniqueCount="361">
  <si>
    <t>OPENING POSITIONS</t>
  </si>
  <si>
    <t>Opening Positions Are Expressed in:</t>
  </si>
  <si>
    <t>ASSETS</t>
  </si>
  <si>
    <t>LIABS &amp; EQUITY</t>
  </si>
  <si>
    <t>Cash &amp; Equivalents</t>
  </si>
  <si>
    <t>Inventories</t>
  </si>
  <si>
    <t>Land</t>
  </si>
  <si>
    <t>Oustanding Loans</t>
  </si>
  <si>
    <t>Fixed Assets</t>
  </si>
  <si>
    <t>Deposits &amp; Advances</t>
  </si>
  <si>
    <t>Grants</t>
  </si>
  <si>
    <t>Construction Work in Process</t>
  </si>
  <si>
    <t>Total</t>
  </si>
  <si>
    <t>Cash Position</t>
  </si>
  <si>
    <t>Months of Operating Expenses</t>
  </si>
  <si>
    <t>On-Time Payments</t>
  </si>
  <si>
    <t>Of Total Water Sales</t>
  </si>
  <si>
    <t>Accounts Receivable</t>
  </si>
  <si>
    <t>Months of  Annual Revenues</t>
  </si>
  <si>
    <t>Interest Earned</t>
  </si>
  <si>
    <t>Earned on Short-Term Deposits</t>
  </si>
  <si>
    <t>Bad Debt Expense</t>
  </si>
  <si>
    <t>Of the Recievable Balance</t>
  </si>
  <si>
    <t>Customer Deposits &amp; Adv.</t>
  </si>
  <si>
    <t>Months of Direct Costs</t>
  </si>
  <si>
    <t>Accounts Payable</t>
  </si>
  <si>
    <t>Depreciation</t>
  </si>
  <si>
    <t>On Net Assets Balance</t>
  </si>
  <si>
    <t>Income Taxes</t>
  </si>
  <si>
    <t>On Profit Before Taxes</t>
  </si>
  <si>
    <t>WATER TARIFF STRUCTURE &amp; ANALYSIS</t>
  </si>
  <si>
    <t>Domestic Users</t>
  </si>
  <si>
    <t>Rate</t>
  </si>
  <si>
    <t>Month Volume</t>
  </si>
  <si>
    <t>% Usage</t>
  </si>
  <si>
    <t>Month Sales</t>
  </si>
  <si>
    <t>Ave. Tariff</t>
  </si>
  <si>
    <t>Percent SC</t>
  </si>
  <si>
    <t>1-15</t>
  </si>
  <si>
    <t>16-30</t>
  </si>
  <si>
    <t>31-100</t>
  </si>
  <si>
    <t>100-Up</t>
  </si>
  <si>
    <t>Commercial &amp; Indus.</t>
  </si>
  <si>
    <t>0-100</t>
  </si>
  <si>
    <t>101-200</t>
  </si>
  <si>
    <t>201-500</t>
  </si>
  <si>
    <t>501-UP</t>
  </si>
  <si>
    <t>Installation Charge (in units )</t>
  </si>
  <si>
    <t>Meter Rental</t>
  </si>
  <si>
    <t>Commodity</t>
  </si>
  <si>
    <t>3/8 Inches</t>
  </si>
  <si>
    <t>1/2 Inches</t>
  </si>
  <si>
    <t>3/4 Inches</t>
  </si>
  <si>
    <t>1 Inch</t>
  </si>
  <si>
    <t>1-1/2 Inches</t>
  </si>
  <si>
    <t>2 Inches</t>
  </si>
  <si>
    <t>4 Inches</t>
  </si>
  <si>
    <t>PROJECTION PARAMETERS</t>
  </si>
  <si>
    <t>OPENING PERIOD</t>
  </si>
  <si>
    <t xml:space="preserve">  Currency:</t>
  </si>
  <si>
    <t xml:space="preserve">  Prices/Costs:</t>
  </si>
  <si>
    <t xml:space="preserve">  Opening Balances Expressed in:</t>
  </si>
  <si>
    <t xml:space="preserve">  Amounts in:</t>
  </si>
  <si>
    <t xml:space="preserve">  Exchange Rate:</t>
  </si>
  <si>
    <t xml:space="preserve">  Exchange Factor</t>
  </si>
  <si>
    <t xml:space="preserve">  Cost Escalation Rates:</t>
  </si>
  <si>
    <t xml:space="preserve">  Cost Escalation Factor:</t>
  </si>
  <si>
    <t>Service Connections</t>
  </si>
  <si>
    <t>TOTAL PROJECT COST</t>
  </si>
  <si>
    <t xml:space="preserve">     Expressed in:</t>
  </si>
  <si>
    <t>Cap. Interst Percent</t>
  </si>
  <si>
    <t>Opening Balance</t>
  </si>
  <si>
    <t>Total WIP</t>
  </si>
  <si>
    <t>Total Transfers</t>
  </si>
  <si>
    <t>Opening  Active Connec.</t>
  </si>
  <si>
    <t>Percent Growth in Connections</t>
  </si>
  <si>
    <t>Total Connections</t>
  </si>
  <si>
    <t>Unaccounted For Water (UFW)</t>
  </si>
  <si>
    <t>Water Production Capacity</t>
  </si>
  <si>
    <t>Total Production Requirement</t>
  </si>
  <si>
    <t>Total Actual Production</t>
  </si>
  <si>
    <t xml:space="preserve"> Total Water Invoiced (m3)</t>
  </si>
  <si>
    <t>FINANCING ASSUMPTIONS</t>
  </si>
  <si>
    <t xml:space="preserve">  Financed By:</t>
  </si>
  <si>
    <t>Financing Gap</t>
  </si>
  <si>
    <t>Amortization of Oustanding Loans</t>
  </si>
  <si>
    <t>Additions</t>
  </si>
  <si>
    <t>Interest Expense</t>
  </si>
  <si>
    <t>Capitalized Interest</t>
  </si>
  <si>
    <t>Total Interest</t>
  </si>
  <si>
    <t>Amortization</t>
  </si>
  <si>
    <t>Closing Balance</t>
  </si>
  <si>
    <t>Terms of New Loans</t>
  </si>
  <si>
    <t>Loan Name</t>
  </si>
  <si>
    <t>Loan3</t>
  </si>
  <si>
    <t>Notes</t>
  </si>
  <si>
    <t>Interest Rates</t>
  </si>
  <si>
    <t>Maturity in Years</t>
  </si>
  <si>
    <t>Line of Credit</t>
  </si>
  <si>
    <t>First Drawdown</t>
  </si>
  <si>
    <t>First Payment</t>
  </si>
  <si>
    <t>Total Loan</t>
  </si>
  <si>
    <t>Annual Ammotization</t>
  </si>
  <si>
    <t>Chemical Treatment</t>
  </si>
  <si>
    <t>Transportation &amp; Equipment</t>
  </si>
  <si>
    <t>Maintenance Expenses</t>
  </si>
  <si>
    <t>Labor Costs</t>
  </si>
  <si>
    <t>No. of Employees</t>
  </si>
  <si>
    <t>Connections per/Employee</t>
  </si>
  <si>
    <t xml:space="preserve">General &amp; Administrative </t>
  </si>
  <si>
    <t>Other OPEX</t>
  </si>
  <si>
    <t>SUMMARY OF KEY FINANCIAL INDICATORS</t>
  </si>
  <si>
    <t>OPERATING RESULTS</t>
  </si>
  <si>
    <t xml:space="preserve">  Operating Revenues</t>
  </si>
  <si>
    <t xml:space="preserve">  Operating Expenses</t>
  </si>
  <si>
    <t xml:space="preserve">  Net Income</t>
  </si>
  <si>
    <t xml:space="preserve">  Cash from Operations</t>
  </si>
  <si>
    <t xml:space="preserve">  Total Assets</t>
  </si>
  <si>
    <t xml:space="preserve">  Working Capital</t>
  </si>
  <si>
    <t xml:space="preserve">  Working Capital (Days)</t>
  </si>
  <si>
    <t>OPERATING EFFICIENCY</t>
  </si>
  <si>
    <t>Water Sold (in 000 of m3)</t>
  </si>
  <si>
    <t>Water Losses</t>
  </si>
  <si>
    <t>Utilization of Water Capacity (Short)/Surplus</t>
  </si>
  <si>
    <t>FINANCIAL PERFORMANCE RATIOS</t>
  </si>
  <si>
    <t xml:space="preserve">  Acc. Receivable (Days)</t>
  </si>
  <si>
    <t xml:space="preserve">  Current Ratio</t>
  </si>
  <si>
    <t xml:space="preserve">  Debt/Equity Ratio</t>
  </si>
  <si>
    <t xml:space="preserve">  Debt Service Coverage</t>
  </si>
  <si>
    <t xml:space="preserve">  Self Financing Ratio</t>
  </si>
  <si>
    <t xml:space="preserve">  Return on Revenues</t>
  </si>
  <si>
    <t xml:space="preserve">  Return on Assets</t>
  </si>
  <si>
    <t xml:space="preserve">  Return on Equity</t>
  </si>
  <si>
    <t xml:space="preserve"> INVESTMENT PROGRAM</t>
  </si>
  <si>
    <t xml:space="preserve">  Investment Project</t>
  </si>
  <si>
    <t xml:space="preserve">  Capitalized Interest  </t>
  </si>
  <si>
    <t xml:space="preserve">  FINANACING PLAN</t>
  </si>
  <si>
    <t>Govt Grants &amp; PPWA Contribution</t>
  </si>
  <si>
    <t>INCOME STATEMENT</t>
  </si>
  <si>
    <t>Revenues</t>
  </si>
  <si>
    <t>Water Sales</t>
  </si>
  <si>
    <t>Installation Charges</t>
  </si>
  <si>
    <t>Interest on Time Deposits</t>
  </si>
  <si>
    <t>Penalties &amp; Fines</t>
  </si>
  <si>
    <t>NET REVENUES</t>
  </si>
  <si>
    <t>OPERATING EXPENSES</t>
  </si>
  <si>
    <t>Water Supply and Distribution</t>
  </si>
  <si>
    <t xml:space="preserve">        Subtotal </t>
  </si>
  <si>
    <t>NET OPERATING PROFIT</t>
  </si>
  <si>
    <t xml:space="preserve">  Depreciation</t>
  </si>
  <si>
    <t xml:space="preserve">  Interest</t>
  </si>
  <si>
    <t>INCOME BEFORE TAXES</t>
  </si>
  <si>
    <t xml:space="preserve">  Income Taxes</t>
  </si>
  <si>
    <t>NET PROFIT/(LOSS)</t>
  </si>
  <si>
    <t>FLOW OF FUNDS STATEMENT</t>
  </si>
  <si>
    <t>INTERNAL CASH GENERATION</t>
  </si>
  <si>
    <t xml:space="preserve">  Net Income Before Int</t>
  </si>
  <si>
    <t xml:space="preserve">  Add: Depreciation Exp</t>
  </si>
  <si>
    <t xml:space="preserve">  Operating Cash Flow</t>
  </si>
  <si>
    <t xml:space="preserve">  Add: Beg Cash Position</t>
  </si>
  <si>
    <t xml:space="preserve">  Working Cap Inc/(Dec)</t>
  </si>
  <si>
    <t>CASH BEFORE DEBT SERVICE</t>
  </si>
  <si>
    <t>DEBT SERVICE</t>
  </si>
  <si>
    <t xml:space="preserve">  Interest Charges</t>
  </si>
  <si>
    <t xml:space="preserve">  Principal Repayments</t>
  </si>
  <si>
    <t>Total Debt Service</t>
  </si>
  <si>
    <t>CASH AFTER DEBT SERVICE</t>
  </si>
  <si>
    <t>CAPITAL INVESTMENT REQUIREMENTS</t>
  </si>
  <si>
    <t xml:space="preserve">  Investment Projects</t>
  </si>
  <si>
    <t xml:space="preserve">  Capitalized Interest</t>
  </si>
  <si>
    <t xml:space="preserve">  Annual Capital Investment</t>
  </si>
  <si>
    <t xml:space="preserve">  Add: Cash Ending Balance</t>
  </si>
  <si>
    <t>FINANCING REQUIREMENTS</t>
  </si>
  <si>
    <t>FUNDS FROM LOANS &amp; GRANTS</t>
  </si>
  <si>
    <t>Outstanding Loans</t>
  </si>
  <si>
    <t xml:space="preserve">  Funds From Loans </t>
  </si>
  <si>
    <t>CASH SURPLUS/(DEFECIT)</t>
  </si>
  <si>
    <t>If Cash Surplus:</t>
  </si>
  <si>
    <t xml:space="preserve">  (Purchase)/Sell Deposits</t>
  </si>
  <si>
    <t>If Cash Deficit:</t>
  </si>
  <si>
    <t xml:space="preserve">  Sale of Deposits</t>
  </si>
  <si>
    <t xml:space="preserve">  Additional Equity Needed</t>
  </si>
  <si>
    <t>Total Cash Raised</t>
  </si>
  <si>
    <t xml:space="preserve"> BALANCE SHEET</t>
  </si>
  <si>
    <t>FIXED ASSETS</t>
  </si>
  <si>
    <t xml:space="preserve">  Land</t>
  </si>
  <si>
    <t xml:space="preserve">  Plant in Service</t>
  </si>
  <si>
    <t xml:space="preserve">  Less: Acc. Depreciation</t>
  </si>
  <si>
    <t xml:space="preserve">  Net Fixed Assets</t>
  </si>
  <si>
    <t xml:space="preserve">  Work in Process</t>
  </si>
  <si>
    <t>TOTAL FIXED ASSETS</t>
  </si>
  <si>
    <r>
      <t xml:space="preserve">  </t>
    </r>
    <r>
      <rPr>
        <sz val="9"/>
        <rFont val="Arial"/>
        <family val="2"/>
      </rPr>
      <t>Other Assets</t>
    </r>
  </si>
  <si>
    <t>CURRENT ASSETS</t>
  </si>
  <si>
    <t xml:space="preserve">   Cash</t>
  </si>
  <si>
    <t xml:space="preserve">   Short-Term Deposits</t>
  </si>
  <si>
    <t>TOTAL CURRENT ASSETS</t>
  </si>
  <si>
    <t>TOTAL ASSETS</t>
  </si>
  <si>
    <t>LIABILITIES &amp; NET WORTH</t>
  </si>
  <si>
    <t>EQUITY</t>
  </si>
  <si>
    <t xml:space="preserve">  Paid In Capital</t>
  </si>
  <si>
    <t xml:space="preserve">  Retained Earnings</t>
  </si>
  <si>
    <t xml:space="preserve">  Capital Contributions</t>
  </si>
  <si>
    <t>TOTAL NET WORTH</t>
  </si>
  <si>
    <t>BORROWINGS</t>
  </si>
  <si>
    <t>Less: Current Portion</t>
  </si>
  <si>
    <t>TOTAL BORROWINGS</t>
  </si>
  <si>
    <t>CURRENT LIABILITIES</t>
  </si>
  <si>
    <t xml:space="preserve">  Guarantee Deposits</t>
  </si>
  <si>
    <t xml:space="preserve">  Current Portion of Debt</t>
  </si>
  <si>
    <t>TOTAL CURRENT LIABILITIES</t>
  </si>
  <si>
    <t>TOTAL LIABS. &amp; NET WORTH</t>
  </si>
  <si>
    <t>INVESTMENT PROGRAM</t>
  </si>
  <si>
    <t>BORROWING SUMMARY</t>
  </si>
  <si>
    <t>All Loans</t>
  </si>
  <si>
    <t>Capitalized Expense</t>
  </si>
  <si>
    <t>MOVEMENT OF ACCOUNTS</t>
  </si>
  <si>
    <t>Beginning Bal</t>
  </si>
  <si>
    <t>Tranfers To Plant</t>
  </si>
  <si>
    <t>Ending Bal</t>
  </si>
  <si>
    <t>Deletions</t>
  </si>
  <si>
    <t>Inc/Dec)</t>
  </si>
  <si>
    <t>Depreciation Exp</t>
  </si>
  <si>
    <t>Amort/Cap Int</t>
  </si>
  <si>
    <t>Bad Debt Write-Offs</t>
  </si>
  <si>
    <t>Inc/(Dec)</t>
  </si>
  <si>
    <t>Ending Balance</t>
  </si>
  <si>
    <t>Begin Bal</t>
  </si>
  <si>
    <t>Net Income</t>
  </si>
  <si>
    <t>Capital Contributions</t>
  </si>
  <si>
    <t>Beginning Balance</t>
  </si>
  <si>
    <t>Long-Term Financial  Projections</t>
  </si>
  <si>
    <t xml:space="preserve">  Operating Ratio</t>
  </si>
  <si>
    <t>Water Capacity, Production &amp; Connection Program</t>
  </si>
  <si>
    <t>Average Tariff</t>
  </si>
  <si>
    <t>Tariff Rate increases</t>
  </si>
  <si>
    <t xml:space="preserve">  Domestic Year-End Factor:</t>
  </si>
  <si>
    <t xml:space="preserve">  Domestic Average Factor</t>
  </si>
  <si>
    <t>Effective Tariff</t>
  </si>
  <si>
    <t>New Connections</t>
  </si>
  <si>
    <t>Average Usage/Connection (m3/day)</t>
  </si>
  <si>
    <t>Total Potential Demand</t>
  </si>
  <si>
    <t>Water Shortage/Surplus</t>
  </si>
  <si>
    <t>Operating Costs</t>
  </si>
  <si>
    <t>Power Costs</t>
  </si>
  <si>
    <t>Net Assets Allocated</t>
  </si>
  <si>
    <t xml:space="preserve">  Cost Escalation Factor (average)</t>
  </si>
  <si>
    <t>Investment Projects</t>
  </si>
  <si>
    <t>Investment Program</t>
  </si>
  <si>
    <t>Prepaid Items &amp; Advances</t>
  </si>
  <si>
    <t>Other Misc Assets</t>
  </si>
  <si>
    <t>Acc/Payables-Suppliers</t>
  </si>
  <si>
    <t>Acumulated Deprecitation</t>
  </si>
  <si>
    <t>Capital Account</t>
  </si>
  <si>
    <t>Retained Earnings</t>
  </si>
  <si>
    <t>Prepaid Expenses &amp; Advances</t>
  </si>
  <si>
    <t>Interest Payable</t>
  </si>
  <si>
    <t>Other Payables</t>
  </si>
  <si>
    <t xml:space="preserve">  Water Utility:</t>
  </si>
  <si>
    <t xml:space="preserve">  Exchange Rate</t>
  </si>
  <si>
    <t>Total Fuel Cost (Riels MM)</t>
  </si>
  <si>
    <t>Number of Vehicles</t>
  </si>
  <si>
    <t>Operating Costs/SC (Riels)</t>
  </si>
  <si>
    <t>Percent of Investment Contracts</t>
  </si>
  <si>
    <t>Months of Total Interest Charged</t>
  </si>
  <si>
    <t>Amount per Service Connection</t>
  </si>
  <si>
    <t xml:space="preserve">   Accounts Receivable (Net)</t>
  </si>
  <si>
    <t xml:space="preserve">   Inventories of Spares</t>
  </si>
  <si>
    <t xml:space="preserve">   Prepaid Items &amp; Advances</t>
  </si>
  <si>
    <t xml:space="preserve">  Accounts Payable-Suppliers</t>
  </si>
  <si>
    <t>Financial Management Assumptions</t>
  </si>
  <si>
    <t>Inflation &amp; Currency Assumptions</t>
  </si>
  <si>
    <t>Opening WIP Balance</t>
  </si>
  <si>
    <t>Transfers to Fixed Assets</t>
  </si>
  <si>
    <t>Savings Account</t>
  </si>
  <si>
    <t>Inventory Level</t>
  </si>
  <si>
    <t>Of Late Payments</t>
  </si>
  <si>
    <t>Constant</t>
  </si>
  <si>
    <t>Repairs &amp; Maintenance</t>
  </si>
  <si>
    <t>Cost/Employee (as % of direct costs)</t>
  </si>
  <si>
    <t>Grace Period (Interest)</t>
  </si>
  <si>
    <t>Grace Period (Principal)</t>
  </si>
  <si>
    <t>First Interest Payment</t>
  </si>
  <si>
    <t>Value Added Tax</t>
  </si>
  <si>
    <t>On Water Revenues</t>
  </si>
  <si>
    <t>Less: Value Added Tax</t>
  </si>
  <si>
    <t xml:space="preserve">  Grants</t>
  </si>
  <si>
    <t>Grant Contributions</t>
  </si>
  <si>
    <t>Million FMs</t>
  </si>
  <si>
    <t>15,000 FMs = 1US$</t>
  </si>
  <si>
    <t>NPV</t>
  </si>
  <si>
    <t>IRR</t>
  </si>
  <si>
    <t>Difference</t>
  </si>
  <si>
    <t>Dropped connections</t>
  </si>
  <si>
    <t>Discount rate</t>
  </si>
  <si>
    <t>Power Cost (in MM)</t>
  </si>
  <si>
    <t>Chemical Costs (FM/m3 produced)</t>
  </si>
  <si>
    <t>Chemical Cost (in FM MM)</t>
  </si>
  <si>
    <t>Connection Charge (FM mm)</t>
  </si>
  <si>
    <t>Power Cost (in FM/m3 produced)</t>
  </si>
  <si>
    <t>Cost/Employee (FM/Month)</t>
  </si>
  <si>
    <t>Labor Costs (in FM MM)</t>
  </si>
  <si>
    <t>Fuel &amp; Maint. Cost Per Vehicle (FMs)</t>
  </si>
  <si>
    <t>Maintenance of Net Assets (FM 000)</t>
  </si>
  <si>
    <t>General &amp; Administrative (in FMs MM)</t>
  </si>
  <si>
    <t>Total Other Operating Costs (in FMs MM)</t>
  </si>
  <si>
    <t>Total Revenue (MM FMs)</t>
  </si>
  <si>
    <t>Average Tariff (FM)</t>
  </si>
  <si>
    <t>Millions FM</t>
  </si>
  <si>
    <t>Inventory Management</t>
  </si>
  <si>
    <t>Performance Improvement Program Dashboard</t>
  </si>
  <si>
    <t>Action Items</t>
  </si>
  <si>
    <t>Five-year Progam</t>
  </si>
  <si>
    <t>Units</t>
  </si>
  <si>
    <t>Leakage Reduction Program</t>
  </si>
  <si>
    <t>Customer Connection Program</t>
  </si>
  <si>
    <t>Treatment Capacity</t>
  </si>
  <si>
    <t>Corresponding Investment Costs</t>
  </si>
  <si>
    <t>Collection Program</t>
  </si>
  <si>
    <t>Tariff Increase</t>
  </si>
  <si>
    <t>Months of receivables reduction'</t>
  </si>
  <si>
    <t>Percent increase (max 5%)</t>
  </si>
  <si>
    <t>Financing the Program</t>
  </si>
  <si>
    <t>Commercial Loans</t>
  </si>
  <si>
    <t>Donor loans</t>
  </si>
  <si>
    <t>Internal Generation</t>
  </si>
  <si>
    <t>Total Financing</t>
  </si>
  <si>
    <t>Total Investments</t>
  </si>
  <si>
    <t>First Drawdown Dates</t>
  </si>
  <si>
    <t>NPV Values</t>
  </si>
  <si>
    <t>Additional Equity Needed</t>
  </si>
  <si>
    <t>Water Surplus/Deficit</t>
  </si>
  <si>
    <t>1% reduction for F$500</t>
  </si>
  <si>
    <t>1 connection for F$2 (max 350/year)</t>
  </si>
  <si>
    <r>
      <t>50,000m</t>
    </r>
    <r>
      <rPr>
        <vertAlign val="superscript"/>
        <sz val="9"/>
        <rFont val="Arial"/>
        <family val="2"/>
      </rPr>
      <t xml:space="preserve">3 for </t>
    </r>
    <r>
      <rPr>
        <sz val="9"/>
        <rFont val="Arial"/>
        <family val="2"/>
      </rPr>
      <t>F$3500</t>
    </r>
  </si>
  <si>
    <t>1 unit for F$100 for 2 months lower</t>
  </si>
  <si>
    <t>NAME:</t>
  </si>
  <si>
    <t>Increase Treatment Capacity</t>
  </si>
  <si>
    <t>Net Presnt Value of Actions</t>
  </si>
  <si>
    <t>Loan1</t>
  </si>
  <si>
    <t>Loan2</t>
  </si>
  <si>
    <t>General Reform Program</t>
  </si>
  <si>
    <t>General Investment Program</t>
  </si>
  <si>
    <t>Input Currency Amount</t>
  </si>
  <si>
    <t>Discount Rate</t>
  </si>
  <si>
    <t>Commercial Loan</t>
  </si>
  <si>
    <t>Concessional Loan</t>
  </si>
  <si>
    <t>Average Tariff  2015</t>
  </si>
  <si>
    <t>Reduction for tariff inceases</t>
  </si>
  <si>
    <t>Investment Financing Gap</t>
  </si>
  <si>
    <t>Net Profit</t>
  </si>
  <si>
    <t>Operating Cash Flow</t>
  </si>
  <si>
    <t>Operating Expenses</t>
  </si>
  <si>
    <t>Operating Cost Coverage</t>
  </si>
  <si>
    <t>Debt Service Coverage</t>
  </si>
  <si>
    <t>Net Profit Ratio</t>
  </si>
  <si>
    <t>Return on Assets</t>
  </si>
  <si>
    <t>1 connection for F$5MM (max 50/year)</t>
  </si>
  <si>
    <t>simulation water company</t>
  </si>
  <si>
    <t>FMs</t>
  </si>
  <si>
    <t>electicity of demand</t>
  </si>
  <si>
    <t>Elasticity of Demand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</si>
</sst>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General_)"/>
    <numFmt numFmtId="166" formatCode="0.0%"/>
    <numFmt numFmtId="167" formatCode="0.00_)"/>
    <numFmt numFmtId="168" formatCode="0.000_)"/>
    <numFmt numFmtId="169" formatCode="0.0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0.0"/>
  </numFmts>
  <fonts count="68" x14ac:knownFonts="1">
    <font>
      <sz val="10"/>
      <name val="Courier"/>
      <family val="3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b/>
      <sz val="9"/>
      <name val="Arial"/>
      <family val="2"/>
    </font>
    <font>
      <b/>
      <sz val="14"/>
      <color indexed="9"/>
      <name val="Arial"/>
      <family val="2"/>
    </font>
    <font>
      <sz val="9"/>
      <color indexed="9"/>
      <name val="Arial"/>
      <family val="2"/>
    </font>
    <font>
      <sz val="10"/>
      <color indexed="9"/>
      <name val="Courier"/>
      <family val="3"/>
    </font>
    <font>
      <b/>
      <sz val="18"/>
      <color indexed="9"/>
      <name val="Arial"/>
      <family val="2"/>
    </font>
    <font>
      <sz val="9"/>
      <name val="Arial"/>
      <family val="2"/>
    </font>
    <font>
      <sz val="18"/>
      <color indexed="9"/>
      <name val="Arial"/>
      <family val="2"/>
    </font>
    <font>
      <b/>
      <sz val="18"/>
      <color indexed="9"/>
      <name val="Arial"/>
      <family val="2"/>
    </font>
    <font>
      <b/>
      <sz val="14"/>
      <color indexed="9"/>
      <name val="Arial"/>
      <family val="2"/>
    </font>
    <font>
      <b/>
      <sz val="9"/>
      <name val="Arial"/>
      <family val="2"/>
    </font>
    <font>
      <b/>
      <sz val="10"/>
      <name val="Courier"/>
      <family val="3"/>
    </font>
    <font>
      <b/>
      <sz val="9"/>
      <color indexed="9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sz val="9"/>
      <color indexed="10"/>
      <name val="Arial"/>
      <family val="2"/>
    </font>
    <font>
      <b/>
      <sz val="12"/>
      <name val="Arial"/>
      <family val="2"/>
    </font>
    <font>
      <sz val="9"/>
      <color indexed="8"/>
      <name val="Arial"/>
      <family val="2"/>
    </font>
    <font>
      <sz val="10"/>
      <color indexed="12"/>
      <name val="Arial"/>
      <family val="2"/>
    </font>
    <font>
      <b/>
      <u/>
      <sz val="9"/>
      <name val="Helv"/>
      <family val="2"/>
    </font>
    <font>
      <sz val="9"/>
      <name val="Helv"/>
      <family val="2"/>
    </font>
    <font>
      <b/>
      <sz val="9"/>
      <name val="Helv"/>
      <family val="2"/>
    </font>
    <font>
      <b/>
      <sz val="9"/>
      <color indexed="9"/>
      <name val="Arial"/>
      <family val="2"/>
    </font>
    <font>
      <b/>
      <sz val="13"/>
      <name val="Arial"/>
      <family val="2"/>
    </font>
    <font>
      <sz val="10"/>
      <color indexed="8"/>
      <name val="Arial"/>
      <family val="2"/>
    </font>
    <font>
      <b/>
      <sz val="13"/>
      <name val="Arial"/>
      <family val="2"/>
    </font>
    <font>
      <b/>
      <sz val="12"/>
      <name val="Helv"/>
      <family val="2"/>
    </font>
    <font>
      <sz val="10"/>
      <name val="Arial"/>
      <family val="2"/>
    </font>
    <font>
      <sz val="14"/>
      <color indexed="9"/>
      <name val="Arial"/>
      <family val="2"/>
    </font>
    <font>
      <b/>
      <sz val="10"/>
      <color indexed="12"/>
      <name val="Arial"/>
      <family val="2"/>
    </font>
    <font>
      <sz val="10"/>
      <color indexed="12"/>
      <name val="Courier"/>
      <family val="3"/>
    </font>
    <font>
      <b/>
      <sz val="16"/>
      <color indexed="9"/>
      <name val="Arial"/>
      <family val="2"/>
    </font>
    <font>
      <b/>
      <sz val="16"/>
      <color indexed="9"/>
      <name val="Arial"/>
      <family val="2"/>
    </font>
    <font>
      <b/>
      <sz val="24"/>
      <name val="Arial"/>
      <family val="2"/>
    </font>
    <font>
      <b/>
      <u/>
      <sz val="18"/>
      <name val="Arial"/>
      <family val="2"/>
    </font>
    <font>
      <b/>
      <sz val="18"/>
      <name val="Arial"/>
      <family val="2"/>
    </font>
    <font>
      <b/>
      <sz val="10"/>
      <color indexed="12"/>
      <name val="Arial"/>
      <family val="2"/>
    </font>
    <font>
      <b/>
      <sz val="13.5"/>
      <color indexed="9"/>
      <name val="Arial"/>
      <family val="2"/>
    </font>
    <font>
      <b/>
      <sz val="28"/>
      <name val="Arial"/>
      <family val="2"/>
    </font>
    <font>
      <b/>
      <sz val="26"/>
      <name val="Arial"/>
      <family val="2"/>
    </font>
    <font>
      <b/>
      <sz val="9"/>
      <color indexed="10"/>
      <name val="Arial"/>
      <family val="2"/>
    </font>
    <font>
      <sz val="10"/>
      <name val="Arial TUR"/>
      <family val="2"/>
      <charset val="162"/>
    </font>
    <font>
      <b/>
      <sz val="9"/>
      <color indexed="12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0"/>
      <name val="Courier"/>
      <family val="3"/>
    </font>
    <font>
      <sz val="11"/>
      <name val="Arial"/>
      <family val="2"/>
    </font>
    <font>
      <vertAlign val="superscript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9"/>
      <color indexed="12"/>
      <name val="Arial"/>
      <family val="2"/>
    </font>
    <font>
      <sz val="14"/>
      <color indexed="12"/>
      <name val="Arial"/>
      <family val="2"/>
    </font>
    <font>
      <b/>
      <sz val="9"/>
      <color indexed="12"/>
      <name val="Arial"/>
      <family val="2"/>
    </font>
    <font>
      <b/>
      <sz val="14"/>
      <color indexed="12"/>
      <name val="Arial"/>
      <family val="2"/>
    </font>
    <font>
      <b/>
      <sz val="10"/>
      <color indexed="9"/>
      <name val="Arial"/>
      <family val="2"/>
    </font>
    <font>
      <b/>
      <sz val="12"/>
      <color indexed="56"/>
      <name val="Arial"/>
      <family val="2"/>
    </font>
    <font>
      <b/>
      <sz val="15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2"/>
      <color rgb="FF33CC33"/>
      <name val="Arial"/>
      <family val="2"/>
    </font>
    <font>
      <b/>
      <sz val="12"/>
      <color rgb="FF00B050"/>
      <name val="Arial"/>
      <family val="2"/>
    </font>
    <font>
      <b/>
      <sz val="9"/>
      <color rgb="FF33CC33"/>
      <name val="Arial"/>
      <family val="2"/>
    </font>
    <font>
      <sz val="9"/>
      <color rgb="FF33CC33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4">
    <xf numFmtId="164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537">
    <xf numFmtId="164" fontId="0" fillId="0" borderId="0" xfId="0"/>
    <xf numFmtId="164" fontId="3" fillId="0" borderId="0" xfId="0" applyFont="1" applyAlignment="1" applyProtection="1">
      <alignment horizontal="left"/>
    </xf>
    <xf numFmtId="164" fontId="4" fillId="0" borderId="0" xfId="0" applyFont="1" applyAlignment="1" applyProtection="1">
      <alignment horizontal="left"/>
      <protection locked="0"/>
    </xf>
    <xf numFmtId="164" fontId="0" fillId="0" borderId="0" xfId="0" applyBorder="1"/>
    <xf numFmtId="164" fontId="18" fillId="2" borderId="1" xfId="0" applyNumberFormat="1" applyFont="1" applyFill="1" applyBorder="1" applyAlignment="1" applyProtection="1">
      <alignment horizontal="left"/>
    </xf>
    <xf numFmtId="164" fontId="7" fillId="2" borderId="2" xfId="0" applyNumberFormat="1" applyFont="1" applyFill="1" applyBorder="1" applyProtection="1"/>
    <xf numFmtId="164" fontId="7" fillId="2" borderId="3" xfId="0" applyNumberFormat="1" applyFont="1" applyFill="1" applyBorder="1" applyProtection="1"/>
    <xf numFmtId="164" fontId="13" fillId="2" borderId="1" xfId="0" applyFont="1" applyFill="1" applyBorder="1" applyAlignment="1" applyProtection="1">
      <alignment horizontal="centerContinuous"/>
    </xf>
    <xf numFmtId="164" fontId="8" fillId="2" borderId="2" xfId="0" applyFont="1" applyFill="1" applyBorder="1" applyAlignment="1">
      <alignment horizontal="centerContinuous"/>
    </xf>
    <xf numFmtId="164" fontId="8" fillId="2" borderId="3" xfId="0" applyFont="1" applyFill="1" applyBorder="1" applyAlignment="1">
      <alignment horizontal="centerContinuous"/>
    </xf>
    <xf numFmtId="164" fontId="5" fillId="3" borderId="1" xfId="0" applyFont="1" applyFill="1" applyBorder="1" applyAlignment="1" applyProtection="1">
      <alignment horizontal="left"/>
    </xf>
    <xf numFmtId="164" fontId="5" fillId="3" borderId="2" xfId="0" applyNumberFormat="1" applyFont="1" applyFill="1" applyBorder="1" applyAlignment="1" applyProtection="1">
      <alignment horizontal="left"/>
    </xf>
    <xf numFmtId="164" fontId="3" fillId="3" borderId="2" xfId="0" applyNumberFormat="1" applyFont="1" applyFill="1" applyBorder="1" applyProtection="1"/>
    <xf numFmtId="164" fontId="0" fillId="4" borderId="4" xfId="0" applyFill="1" applyBorder="1"/>
    <xf numFmtId="164" fontId="0" fillId="4" borderId="0" xfId="0" applyFill="1" applyBorder="1"/>
    <xf numFmtId="164" fontId="0" fillId="4" borderId="5" xfId="0" applyFill="1" applyBorder="1"/>
    <xf numFmtId="164" fontId="3" fillId="4" borderId="4" xfId="0" applyFont="1" applyFill="1" applyBorder="1" applyAlignment="1" applyProtection="1">
      <alignment horizontal="fill"/>
    </xf>
    <xf numFmtId="164" fontId="3" fillId="4" borderId="0" xfId="0" applyFont="1" applyFill="1" applyBorder="1" applyAlignment="1" applyProtection="1">
      <alignment horizontal="fill"/>
    </xf>
    <xf numFmtId="164" fontId="3" fillId="4" borderId="5" xfId="0" applyFont="1" applyFill="1" applyBorder="1" applyAlignment="1" applyProtection="1">
      <alignment horizontal="fill"/>
    </xf>
    <xf numFmtId="164" fontId="19" fillId="2" borderId="2" xfId="0" applyFont="1" applyFill="1" applyBorder="1"/>
    <xf numFmtId="171" fontId="4" fillId="5" borderId="6" xfId="1" applyNumberFormat="1" applyFont="1" applyFill="1" applyBorder="1" applyProtection="1">
      <protection locked="0"/>
    </xf>
    <xf numFmtId="164" fontId="8" fillId="6" borderId="2" xfId="0" applyFont="1" applyFill="1" applyBorder="1" applyAlignment="1">
      <alignment horizontal="centerContinuous"/>
    </xf>
    <xf numFmtId="164" fontId="8" fillId="6" borderId="3" xfId="0" applyFont="1" applyFill="1" applyBorder="1" applyAlignment="1">
      <alignment horizontal="centerContinuous"/>
    </xf>
    <xf numFmtId="3" fontId="11" fillId="6" borderId="1" xfId="0" applyNumberFormat="1" applyFont="1" applyFill="1" applyBorder="1"/>
    <xf numFmtId="3" fontId="7" fillId="6" borderId="2" xfId="0" applyNumberFormat="1" applyFont="1" applyFill="1" applyBorder="1"/>
    <xf numFmtId="171" fontId="4" fillId="5" borderId="7" xfId="1" applyNumberFormat="1" applyFont="1" applyFill="1" applyBorder="1" applyProtection="1">
      <protection locked="0"/>
    </xf>
    <xf numFmtId="171" fontId="4" fillId="5" borderId="8" xfId="1" applyNumberFormat="1" applyFont="1" applyFill="1" applyBorder="1" applyProtection="1">
      <protection locked="0"/>
    </xf>
    <xf numFmtId="164" fontId="32" fillId="0" borderId="0" xfId="0" applyFont="1"/>
    <xf numFmtId="164" fontId="0" fillId="6" borderId="9" xfId="0" applyFill="1" applyBorder="1"/>
    <xf numFmtId="164" fontId="0" fillId="6" borderId="10" xfId="0" applyFill="1" applyBorder="1"/>
    <xf numFmtId="164" fontId="0" fillId="6" borderId="11" xfId="0" applyFill="1" applyBorder="1"/>
    <xf numFmtId="164" fontId="33" fillId="6" borderId="4" xfId="0" applyFont="1" applyFill="1" applyBorder="1" applyAlignment="1">
      <alignment horizontal="centerContinuous"/>
    </xf>
    <xf numFmtId="164" fontId="0" fillId="6" borderId="0" xfId="0" applyFill="1" applyBorder="1" applyAlignment="1">
      <alignment horizontal="centerContinuous"/>
    </xf>
    <xf numFmtId="164" fontId="0" fillId="6" borderId="5" xfId="0" applyFill="1" applyBorder="1" applyAlignment="1">
      <alignment horizontal="centerContinuous"/>
    </xf>
    <xf numFmtId="164" fontId="0" fillId="6" borderId="4" xfId="0" applyFill="1" applyBorder="1"/>
    <xf numFmtId="164" fontId="0" fillId="6" borderId="0" xfId="0" applyFill="1" applyBorder="1"/>
    <xf numFmtId="164" fontId="0" fillId="6" borderId="5" xfId="0" applyFill="1" applyBorder="1"/>
    <xf numFmtId="164" fontId="23" fillId="5" borderId="0" xfId="0" applyFont="1" applyFill="1" applyBorder="1"/>
    <xf numFmtId="164" fontId="0" fillId="5" borderId="10" xfId="0" applyFill="1" applyBorder="1"/>
    <xf numFmtId="164" fontId="0" fillId="5" borderId="0" xfId="0" applyFill="1" applyBorder="1"/>
    <xf numFmtId="164" fontId="23" fillId="5" borderId="10" xfId="0" applyFont="1" applyFill="1" applyBorder="1"/>
    <xf numFmtId="164" fontId="1" fillId="0" borderId="1" xfId="0" applyFont="1" applyBorder="1"/>
    <xf numFmtId="164" fontId="0" fillId="0" borderId="3" xfId="0" applyBorder="1"/>
    <xf numFmtId="164" fontId="1" fillId="0" borderId="12" xfId="0" applyFont="1" applyBorder="1"/>
    <xf numFmtId="10" fontId="32" fillId="0" borderId="12" xfId="3" applyNumberFormat="1" applyFont="1" applyBorder="1"/>
    <xf numFmtId="164" fontId="4" fillId="0" borderId="0" xfId="0" applyFont="1" applyFill="1" applyAlignment="1" applyProtection="1">
      <alignment horizontal="left"/>
      <protection locked="0"/>
    </xf>
    <xf numFmtId="164" fontId="0" fillId="0" borderId="0" xfId="0" applyFill="1"/>
    <xf numFmtId="164" fontId="34" fillId="5" borderId="7" xfId="0" quotePrefix="1" applyFont="1" applyFill="1" applyBorder="1" applyProtection="1">
      <protection locked="0"/>
    </xf>
    <xf numFmtId="164" fontId="34" fillId="5" borderId="6" xfId="0" quotePrefix="1" applyFont="1" applyFill="1" applyBorder="1" applyProtection="1">
      <protection locked="0"/>
    </xf>
    <xf numFmtId="167" fontId="23" fillId="5" borderId="7" xfId="0" applyNumberFormat="1" applyFont="1" applyFill="1" applyBorder="1" applyProtection="1">
      <protection locked="0"/>
    </xf>
    <xf numFmtId="10" fontId="23" fillId="5" borderId="11" xfId="3" applyNumberFormat="1" applyFont="1" applyFill="1" applyBorder="1" applyProtection="1">
      <protection locked="0"/>
    </xf>
    <xf numFmtId="167" fontId="23" fillId="5" borderId="6" xfId="0" applyNumberFormat="1" applyFont="1" applyFill="1" applyBorder="1" applyProtection="1">
      <protection locked="0"/>
    </xf>
    <xf numFmtId="10" fontId="23" fillId="5" borderId="5" xfId="3" applyNumberFormat="1" applyFont="1" applyFill="1" applyBorder="1" applyProtection="1">
      <protection locked="0"/>
    </xf>
    <xf numFmtId="164" fontId="23" fillId="5" borderId="4" xfId="0" quotePrefix="1" applyFont="1" applyFill="1" applyBorder="1" applyProtection="1">
      <protection locked="0"/>
    </xf>
    <xf numFmtId="164" fontId="9" fillId="7" borderId="0" xfId="0" applyFont="1" applyFill="1" applyProtection="1">
      <protection hidden="1"/>
    </xf>
    <xf numFmtId="164" fontId="7" fillId="7" borderId="0" xfId="0" applyFont="1" applyFill="1" applyProtection="1">
      <protection hidden="1"/>
    </xf>
    <xf numFmtId="164" fontId="0" fillId="0" borderId="0" xfId="0" applyProtection="1">
      <protection hidden="1"/>
    </xf>
    <xf numFmtId="164" fontId="6" fillId="7" borderId="0" xfId="0" applyFont="1" applyFill="1" applyAlignment="1" applyProtection="1">
      <alignment horizontal="left"/>
      <protection hidden="1"/>
    </xf>
    <xf numFmtId="171" fontId="0" fillId="0" borderId="0" xfId="1" applyNumberFormat="1" applyFont="1" applyProtection="1">
      <protection hidden="1"/>
    </xf>
    <xf numFmtId="164" fontId="6" fillId="7" borderId="0" xfId="0" applyNumberFormat="1" applyFont="1" applyFill="1" applyAlignment="1" applyProtection="1">
      <alignment horizontal="left"/>
      <protection hidden="1"/>
    </xf>
    <xf numFmtId="164" fontId="3" fillId="7" borderId="0" xfId="0" applyNumberFormat="1" applyFont="1" applyFill="1" applyProtection="1">
      <protection hidden="1"/>
    </xf>
    <xf numFmtId="164" fontId="13" fillId="7" borderId="0" xfId="0" applyNumberFormat="1" applyFont="1" applyFill="1" applyAlignment="1" applyProtection="1">
      <alignment horizontal="left"/>
      <protection hidden="1"/>
    </xf>
    <xf numFmtId="164" fontId="3" fillId="7" borderId="0" xfId="0" applyFont="1" applyFill="1" applyProtection="1">
      <protection hidden="1"/>
    </xf>
    <xf numFmtId="164" fontId="13" fillId="7" borderId="0" xfId="0" applyNumberFormat="1" applyFont="1" applyFill="1" applyAlignment="1" applyProtection="1">
      <protection hidden="1"/>
    </xf>
    <xf numFmtId="164" fontId="15" fillId="0" borderId="0" xfId="0" applyFont="1" applyProtection="1">
      <protection hidden="1"/>
    </xf>
    <xf numFmtId="164" fontId="0" fillId="0" borderId="0" xfId="0" applyBorder="1" applyProtection="1">
      <protection hidden="1"/>
    </xf>
    <xf numFmtId="164" fontId="13" fillId="7" borderId="0" xfId="0" applyFont="1" applyFill="1" applyAlignment="1" applyProtection="1">
      <alignment horizontal="left"/>
      <protection hidden="1"/>
    </xf>
    <xf numFmtId="164" fontId="16" fillId="7" borderId="0" xfId="0" applyFont="1" applyFill="1" applyProtection="1">
      <protection hidden="1"/>
    </xf>
    <xf numFmtId="164" fontId="23" fillId="5" borderId="4" xfId="0" applyFont="1" applyFill="1" applyBorder="1"/>
    <xf numFmtId="164" fontId="35" fillId="5" borderId="13" xfId="0" applyFont="1" applyFill="1" applyBorder="1"/>
    <xf numFmtId="10" fontId="23" fillId="5" borderId="11" xfId="3" applyNumberFormat="1" applyFont="1" applyFill="1" applyBorder="1"/>
    <xf numFmtId="10" fontId="23" fillId="5" borderId="5" xfId="3" applyNumberFormat="1" applyFont="1" applyFill="1" applyBorder="1"/>
    <xf numFmtId="164" fontId="36" fillId="7" borderId="0" xfId="0" applyFont="1" applyFill="1" applyProtection="1">
      <protection hidden="1"/>
    </xf>
    <xf numFmtId="43" fontId="23" fillId="5" borderId="14" xfId="1" applyFont="1" applyFill="1" applyBorder="1"/>
    <xf numFmtId="164" fontId="37" fillId="7" borderId="0" xfId="0" applyFont="1" applyFill="1" applyProtection="1">
      <protection hidden="1"/>
    </xf>
    <xf numFmtId="164" fontId="5" fillId="7" borderId="15" xfId="0" applyFont="1" applyFill="1" applyBorder="1" applyProtection="1">
      <protection hidden="1"/>
    </xf>
    <xf numFmtId="165" fontId="27" fillId="7" borderId="16" xfId="0" applyNumberFormat="1" applyFont="1" applyFill="1" applyBorder="1" applyProtection="1">
      <protection hidden="1"/>
    </xf>
    <xf numFmtId="164" fontId="14" fillId="7" borderId="15" xfId="0" applyFont="1" applyFill="1" applyBorder="1" applyProtection="1">
      <protection hidden="1"/>
    </xf>
    <xf numFmtId="164" fontId="27" fillId="7" borderId="15" xfId="0" applyFont="1" applyFill="1" applyBorder="1" applyProtection="1">
      <protection hidden="1"/>
    </xf>
    <xf numFmtId="164" fontId="27" fillId="7" borderId="15" xfId="0" applyNumberFormat="1" applyFont="1" applyFill="1" applyBorder="1" applyProtection="1">
      <protection hidden="1"/>
    </xf>
    <xf numFmtId="3" fontId="3" fillId="8" borderId="0" xfId="0" applyNumberFormat="1" applyFont="1" applyFill="1" applyBorder="1"/>
    <xf numFmtId="3" fontId="3" fillId="8" borderId="17" xfId="0" applyNumberFormat="1" applyFont="1" applyFill="1" applyBorder="1"/>
    <xf numFmtId="1" fontId="20" fillId="8" borderId="16" xfId="0" applyNumberFormat="1" applyFont="1" applyFill="1" applyBorder="1"/>
    <xf numFmtId="171" fontId="3" fillId="8" borderId="17" xfId="1" applyNumberFormat="1" applyFont="1" applyFill="1" applyBorder="1"/>
    <xf numFmtId="3" fontId="21" fillId="8" borderId="0" xfId="0" applyNumberFormat="1" applyFont="1" applyFill="1" applyBorder="1"/>
    <xf numFmtId="164" fontId="0" fillId="8" borderId="0" xfId="0" applyFill="1"/>
    <xf numFmtId="164" fontId="0" fillId="8" borderId="17" xfId="0" applyFill="1" applyBorder="1"/>
    <xf numFmtId="164" fontId="32" fillId="8" borderId="0" xfId="0" applyFont="1" applyFill="1" applyBorder="1"/>
    <xf numFmtId="164" fontId="34" fillId="8" borderId="1" xfId="0" quotePrefix="1" applyFont="1" applyFill="1" applyBorder="1"/>
    <xf numFmtId="164" fontId="0" fillId="8" borderId="2" xfId="0" applyFill="1" applyBorder="1"/>
    <xf numFmtId="167" fontId="23" fillId="8" borderId="3" xfId="0" applyNumberFormat="1" applyFont="1" applyFill="1" applyBorder="1"/>
    <xf numFmtId="10" fontId="29" fillId="8" borderId="12" xfId="3" applyNumberFormat="1" applyFont="1" applyFill="1" applyBorder="1"/>
    <xf numFmtId="164" fontId="32" fillId="8" borderId="4" xfId="0" applyFont="1" applyFill="1" applyBorder="1"/>
    <xf numFmtId="164" fontId="32" fillId="8" borderId="5" xfId="0" applyFont="1" applyFill="1" applyBorder="1"/>
    <xf numFmtId="164" fontId="1" fillId="8" borderId="1" xfId="0" applyFont="1" applyFill="1" applyBorder="1"/>
    <xf numFmtId="164" fontId="32" fillId="8" borderId="2" xfId="0" applyFont="1" applyFill="1" applyBorder="1"/>
    <xf numFmtId="164" fontId="1" fillId="8" borderId="3" xfId="0" applyFont="1" applyFill="1" applyBorder="1" applyAlignment="1">
      <alignment horizontal="left"/>
    </xf>
    <xf numFmtId="164" fontId="32" fillId="8" borderId="12" xfId="0" applyFont="1" applyFill="1" applyBorder="1"/>
    <xf numFmtId="164" fontId="1" fillId="8" borderId="12" xfId="0" applyFont="1" applyFill="1" applyBorder="1"/>
    <xf numFmtId="164" fontId="0" fillId="8" borderId="1" xfId="0" applyFill="1" applyBorder="1"/>
    <xf numFmtId="164" fontId="0" fillId="8" borderId="3" xfId="0" applyFill="1" applyBorder="1"/>
    <xf numFmtId="164" fontId="32" fillId="8" borderId="3" xfId="0" applyFont="1" applyFill="1" applyBorder="1"/>
    <xf numFmtId="164" fontId="0" fillId="8" borderId="0" xfId="0" applyFill="1" applyAlignment="1">
      <alignment horizontal="centerContinuous"/>
    </xf>
    <xf numFmtId="167" fontId="23" fillId="5" borderId="6" xfId="0" applyNumberFormat="1" applyFont="1" applyFill="1" applyBorder="1"/>
    <xf numFmtId="164" fontId="3" fillId="8" borderId="0" xfId="0" applyNumberFormat="1" applyFont="1" applyFill="1" applyBorder="1" applyAlignment="1" applyProtection="1">
      <alignment horizontal="left"/>
    </xf>
    <xf numFmtId="164" fontId="3" fillId="8" borderId="0" xfId="0" applyNumberFormat="1" applyFont="1" applyFill="1" applyBorder="1" applyProtection="1"/>
    <xf numFmtId="164" fontId="3" fillId="8" borderId="0" xfId="0" applyFont="1" applyFill="1" applyBorder="1" applyAlignment="1" applyProtection="1">
      <alignment horizontal="left"/>
    </xf>
    <xf numFmtId="164" fontId="3" fillId="8" borderId="0" xfId="0" applyFont="1" applyFill="1" applyBorder="1"/>
    <xf numFmtId="167" fontId="3" fillId="8" borderId="0" xfId="0" applyNumberFormat="1" applyFont="1" applyFill="1" applyBorder="1" applyAlignment="1" applyProtection="1">
      <alignment horizontal="left"/>
    </xf>
    <xf numFmtId="164" fontId="3" fillId="8" borderId="13" xfId="0" applyFont="1" applyFill="1" applyBorder="1"/>
    <xf numFmtId="164" fontId="3" fillId="8" borderId="18" xfId="0" applyFont="1" applyFill="1" applyBorder="1"/>
    <xf numFmtId="164" fontId="0" fillId="8" borderId="19" xfId="0" applyFill="1" applyBorder="1"/>
    <xf numFmtId="164" fontId="3" fillId="8" borderId="4" xfId="0" applyFont="1" applyFill="1" applyBorder="1" applyAlignment="1" applyProtection="1">
      <alignment horizontal="left"/>
    </xf>
    <xf numFmtId="164" fontId="3" fillId="8" borderId="20" xfId="0" applyFont="1" applyFill="1" applyBorder="1" applyAlignment="1" applyProtection="1">
      <alignment horizontal="left"/>
    </xf>
    <xf numFmtId="164" fontId="3" fillId="8" borderId="21" xfId="0" applyFont="1" applyFill="1" applyBorder="1" applyAlignment="1" applyProtection="1">
      <alignment horizontal="left"/>
    </xf>
    <xf numFmtId="164" fontId="5" fillId="8" borderId="22" xfId="0" applyFont="1" applyFill="1" applyBorder="1" applyAlignment="1" applyProtection="1">
      <alignment horizontal="left"/>
    </xf>
    <xf numFmtId="164" fontId="30" fillId="8" borderId="9" xfId="0" applyFont="1" applyFill="1" applyBorder="1"/>
    <xf numFmtId="164" fontId="0" fillId="8" borderId="10" xfId="0" applyFill="1" applyBorder="1"/>
    <xf numFmtId="164" fontId="0" fillId="8" borderId="11" xfId="0" applyFill="1" applyBorder="1"/>
    <xf numFmtId="164" fontId="0" fillId="8" borderId="23" xfId="0" applyFill="1" applyBorder="1"/>
    <xf numFmtId="164" fontId="5" fillId="8" borderId="4" xfId="0" applyFont="1" applyFill="1" applyBorder="1" applyAlignment="1" applyProtection="1">
      <alignment horizontal="left"/>
    </xf>
    <xf numFmtId="164" fontId="5" fillId="8" borderId="14" xfId="0" applyFont="1" applyFill="1" applyBorder="1" applyAlignment="1" applyProtection="1">
      <alignment horizontal="left"/>
    </xf>
    <xf numFmtId="164" fontId="3" fillId="8" borderId="24" xfId="0" applyNumberFormat="1" applyFont="1" applyFill="1" applyBorder="1" applyProtection="1"/>
    <xf numFmtId="164" fontId="3" fillId="8" borderId="25" xfId="0" applyNumberFormat="1" applyFont="1" applyFill="1" applyBorder="1" applyProtection="1"/>
    <xf numFmtId="164" fontId="3" fillId="8" borderId="26" xfId="0" applyNumberFormat="1" applyFont="1" applyFill="1" applyBorder="1" applyProtection="1"/>
    <xf numFmtId="164" fontId="3" fillId="8" borderId="27" xfId="0" applyNumberFormat="1" applyFont="1" applyFill="1" applyBorder="1" applyAlignment="1" applyProtection="1">
      <alignment horizontal="center"/>
    </xf>
    <xf numFmtId="164" fontId="39" fillId="8" borderId="0" xfId="0" applyFont="1" applyFill="1" applyAlignment="1">
      <alignment horizontal="centerContinuous"/>
    </xf>
    <xf numFmtId="164" fontId="22" fillId="8" borderId="4" xfId="0" applyFont="1" applyFill="1" applyBorder="1" applyAlignment="1" applyProtection="1">
      <alignment horizontal="left"/>
    </xf>
    <xf numFmtId="164" fontId="22" fillId="8" borderId="19" xfId="0" applyFont="1" applyFill="1" applyBorder="1" applyAlignment="1" applyProtection="1">
      <alignment horizontal="left"/>
    </xf>
    <xf numFmtId="164" fontId="3" fillId="8" borderId="14" xfId="0" applyFont="1" applyFill="1" applyBorder="1"/>
    <xf numFmtId="164" fontId="3" fillId="8" borderId="8" xfId="0" applyNumberFormat="1" applyFont="1" applyFill="1" applyBorder="1" applyProtection="1"/>
    <xf numFmtId="164" fontId="3" fillId="8" borderId="13" xfId="0" applyNumberFormat="1" applyFont="1" applyFill="1" applyBorder="1" applyProtection="1"/>
    <xf numFmtId="164" fontId="22" fillId="8" borderId="0" xfId="0" applyNumberFormat="1" applyFont="1" applyFill="1" applyBorder="1" applyAlignment="1" applyProtection="1">
      <alignment horizontal="left"/>
    </xf>
    <xf numFmtId="164" fontId="22" fillId="8" borderId="0" xfId="0" applyNumberFormat="1" applyFont="1" applyFill="1" applyBorder="1" applyProtection="1"/>
    <xf numFmtId="164" fontId="22" fillId="8" borderId="0" xfId="0" applyFont="1" applyFill="1" applyBorder="1" applyAlignment="1" applyProtection="1">
      <alignment horizontal="left"/>
    </xf>
    <xf numFmtId="164" fontId="22" fillId="8" borderId="0" xfId="0" applyFont="1" applyFill="1" applyBorder="1"/>
    <xf numFmtId="164" fontId="29" fillId="8" borderId="0" xfId="0" applyFont="1" applyFill="1"/>
    <xf numFmtId="164" fontId="22" fillId="8" borderId="17" xfId="0" applyNumberFormat="1" applyFont="1" applyFill="1" applyBorder="1" applyAlignment="1" applyProtection="1">
      <alignment horizontal="left"/>
    </xf>
    <xf numFmtId="164" fontId="22" fillId="8" borderId="17" xfId="0" applyNumberFormat="1" applyFont="1" applyFill="1" applyBorder="1" applyProtection="1"/>
    <xf numFmtId="164" fontId="3" fillId="8" borderId="0" xfId="0" applyFont="1" applyFill="1"/>
    <xf numFmtId="164" fontId="3" fillId="8" borderId="19" xfId="0" applyFont="1" applyFill="1" applyBorder="1"/>
    <xf numFmtId="164" fontId="3" fillId="8" borderId="6" xfId="0" applyFont="1" applyFill="1" applyBorder="1"/>
    <xf numFmtId="164" fontId="3" fillId="8" borderId="13" xfId="0" applyNumberFormat="1" applyFont="1" applyFill="1" applyBorder="1" applyAlignment="1" applyProtection="1">
      <alignment horizontal="left"/>
    </xf>
    <xf numFmtId="164" fontId="7" fillId="8" borderId="0" xfId="0" applyFont="1" applyFill="1" applyProtection="1">
      <protection hidden="1"/>
    </xf>
    <xf numFmtId="164" fontId="8" fillId="8" borderId="0" xfId="0" applyFont="1" applyFill="1" applyProtection="1">
      <protection hidden="1"/>
    </xf>
    <xf numFmtId="164" fontId="3" fillId="8" borderId="0" xfId="0" applyFont="1" applyFill="1" applyProtection="1">
      <protection hidden="1"/>
    </xf>
    <xf numFmtId="164" fontId="3" fillId="8" borderId="0" xfId="0" applyFont="1" applyFill="1" applyAlignment="1" applyProtection="1">
      <alignment horizontal="right"/>
      <protection hidden="1"/>
    </xf>
    <xf numFmtId="164" fontId="0" fillId="8" borderId="0" xfId="0" applyFill="1" applyProtection="1">
      <protection hidden="1"/>
    </xf>
    <xf numFmtId="164" fontId="5" fillId="8" borderId="0" xfId="0" applyFont="1" applyFill="1" applyAlignment="1" applyProtection="1">
      <alignment horizontal="left"/>
      <protection hidden="1"/>
    </xf>
    <xf numFmtId="164" fontId="3" fillId="8" borderId="0" xfId="0" applyFont="1" applyFill="1" applyAlignment="1" applyProtection="1">
      <alignment horizontal="left"/>
      <protection hidden="1"/>
    </xf>
    <xf numFmtId="166" fontId="3" fillId="8" borderId="0" xfId="0" applyNumberFormat="1" applyFont="1" applyFill="1" applyProtection="1">
      <protection hidden="1"/>
    </xf>
    <xf numFmtId="167" fontId="3" fillId="8" borderId="0" xfId="0" applyNumberFormat="1" applyFont="1" applyFill="1" applyProtection="1">
      <protection hidden="1"/>
    </xf>
    <xf numFmtId="43" fontId="3" fillId="8" borderId="0" xfId="1" applyFont="1" applyFill="1" applyProtection="1">
      <protection hidden="1"/>
    </xf>
    <xf numFmtId="164" fontId="3" fillId="8" borderId="0" xfId="0" applyNumberFormat="1" applyFont="1" applyFill="1" applyProtection="1">
      <protection hidden="1"/>
    </xf>
    <xf numFmtId="171" fontId="3" fillId="8" borderId="0" xfId="1" applyNumberFormat="1" applyFont="1" applyFill="1" applyProtection="1">
      <protection hidden="1"/>
    </xf>
    <xf numFmtId="164" fontId="10" fillId="8" borderId="0" xfId="0" applyFont="1" applyFill="1" applyAlignment="1" applyProtection="1">
      <protection hidden="1"/>
    </xf>
    <xf numFmtId="164" fontId="32" fillId="8" borderId="0" xfId="0" applyFont="1" applyFill="1" applyProtection="1">
      <protection hidden="1"/>
    </xf>
    <xf numFmtId="166" fontId="3" fillId="8" borderId="0" xfId="3" applyNumberFormat="1" applyFont="1" applyFill="1" applyProtection="1">
      <protection hidden="1"/>
    </xf>
    <xf numFmtId="164" fontId="10" fillId="8" borderId="0" xfId="0" applyFont="1" applyFill="1" applyAlignment="1" applyProtection="1">
      <alignment horizontal="left"/>
      <protection hidden="1"/>
    </xf>
    <xf numFmtId="9" fontId="3" fillId="8" borderId="0" xfId="3" applyFont="1" applyFill="1" applyProtection="1">
      <protection hidden="1"/>
    </xf>
    <xf numFmtId="171" fontId="10" fillId="8" borderId="0" xfId="1" applyNumberFormat="1" applyFont="1" applyFill="1" applyProtection="1">
      <protection hidden="1"/>
    </xf>
    <xf numFmtId="164" fontId="5" fillId="8" borderId="17" xfId="0" applyFont="1" applyFill="1" applyBorder="1" applyAlignment="1" applyProtection="1">
      <alignment horizontal="left"/>
      <protection hidden="1"/>
    </xf>
    <xf numFmtId="171" fontId="3" fillId="8" borderId="17" xfId="1" applyNumberFormat="1" applyFont="1" applyFill="1" applyBorder="1" applyProtection="1">
      <protection hidden="1"/>
    </xf>
    <xf numFmtId="164" fontId="7" fillId="8" borderId="0" xfId="0" applyNumberFormat="1" applyFont="1" applyFill="1" applyProtection="1">
      <protection hidden="1"/>
    </xf>
    <xf numFmtId="164" fontId="21" fillId="8" borderId="0" xfId="0" applyNumberFormat="1" applyFont="1" applyFill="1" applyProtection="1">
      <protection hidden="1"/>
    </xf>
    <xf numFmtId="164" fontId="10" fillId="8" borderId="0" xfId="0" applyFont="1" applyFill="1" applyProtection="1">
      <protection hidden="1"/>
    </xf>
    <xf numFmtId="164" fontId="3" fillId="8" borderId="17" xfId="0" applyFont="1" applyFill="1" applyBorder="1" applyProtection="1">
      <protection hidden="1"/>
    </xf>
    <xf numFmtId="164" fontId="5" fillId="8" borderId="0" xfId="0" applyNumberFormat="1" applyFont="1" applyFill="1" applyAlignment="1" applyProtection="1">
      <alignment horizontal="left"/>
      <protection hidden="1"/>
    </xf>
    <xf numFmtId="164" fontId="5" fillId="8" borderId="0" xfId="0" applyNumberFormat="1" applyFont="1" applyFill="1" applyProtection="1">
      <protection hidden="1"/>
    </xf>
    <xf numFmtId="164" fontId="3" fillId="8" borderId="17" xfId="0" applyFont="1" applyFill="1" applyBorder="1" applyAlignment="1" applyProtection="1">
      <alignment horizontal="left"/>
      <protection hidden="1"/>
    </xf>
    <xf numFmtId="164" fontId="5" fillId="8" borderId="28" xfId="0" applyFont="1" applyFill="1" applyBorder="1" applyAlignment="1" applyProtection="1">
      <alignment horizontal="left"/>
      <protection hidden="1"/>
    </xf>
    <xf numFmtId="164" fontId="24" fillId="8" borderId="0" xfId="0" applyNumberFormat="1" applyFont="1" applyFill="1" applyAlignment="1" applyProtection="1">
      <alignment horizontal="left"/>
      <protection hidden="1"/>
    </xf>
    <xf numFmtId="164" fontId="25" fillId="8" borderId="17" xfId="0" applyNumberFormat="1" applyFont="1" applyFill="1" applyBorder="1" applyAlignment="1" applyProtection="1">
      <alignment horizontal="left"/>
      <protection hidden="1"/>
    </xf>
    <xf numFmtId="164" fontId="25" fillId="8" borderId="0" xfId="0" applyFont="1" applyFill="1" applyProtection="1">
      <protection hidden="1"/>
    </xf>
    <xf numFmtId="164" fontId="25" fillId="8" borderId="0" xfId="0" applyNumberFormat="1" applyFont="1" applyFill="1" applyAlignment="1" applyProtection="1">
      <alignment horizontal="left"/>
      <protection hidden="1"/>
    </xf>
    <xf numFmtId="164" fontId="3" fillId="8" borderId="0" xfId="0" applyNumberFormat="1" applyFont="1" applyFill="1" applyAlignment="1" applyProtection="1">
      <alignment horizontal="right"/>
      <protection hidden="1"/>
    </xf>
    <xf numFmtId="164" fontId="5" fillId="8" borderId="0" xfId="0" applyFont="1" applyFill="1" applyAlignment="1" applyProtection="1">
      <alignment horizontal="center"/>
      <protection hidden="1"/>
    </xf>
    <xf numFmtId="164" fontId="3" fillId="8" borderId="0" xfId="0" applyFont="1" applyFill="1" applyAlignment="1" applyProtection="1">
      <alignment horizontal="fill"/>
      <protection hidden="1"/>
    </xf>
    <xf numFmtId="164" fontId="17" fillId="8" borderId="0" xfId="0" applyFont="1" applyFill="1" applyAlignment="1" applyProtection="1">
      <alignment horizontal="left"/>
      <protection hidden="1"/>
    </xf>
    <xf numFmtId="164" fontId="17" fillId="8" borderId="17" xfId="0" applyFont="1" applyFill="1" applyBorder="1" applyAlignment="1" applyProtection="1">
      <alignment horizontal="center"/>
      <protection hidden="1"/>
    </xf>
    <xf numFmtId="164" fontId="3" fillId="8" borderId="0" xfId="0" applyFont="1" applyFill="1" applyBorder="1" applyAlignment="1" applyProtection="1">
      <protection hidden="1"/>
    </xf>
    <xf numFmtId="164" fontId="3" fillId="8" borderId="0" xfId="0" applyFont="1" applyFill="1" applyBorder="1" applyAlignment="1" applyProtection="1">
      <alignment horizontal="left"/>
      <protection hidden="1"/>
    </xf>
    <xf numFmtId="164" fontId="3" fillId="8" borderId="0" xfId="0" applyFont="1" applyFill="1" applyAlignment="1" applyProtection="1">
      <alignment horizontal="center"/>
      <protection hidden="1"/>
    </xf>
    <xf numFmtId="164" fontId="5" fillId="8" borderId="0" xfId="0" applyFont="1" applyFill="1" applyBorder="1" applyAlignment="1" applyProtection="1">
      <alignment horizontal="left"/>
      <protection hidden="1"/>
    </xf>
    <xf numFmtId="164" fontId="31" fillId="8" borderId="0" xfId="0" applyNumberFormat="1" applyFont="1" applyFill="1" applyAlignment="1" applyProtection="1">
      <alignment horizontal="left"/>
      <protection hidden="1"/>
    </xf>
    <xf numFmtId="164" fontId="7" fillId="7" borderId="0" xfId="0" applyNumberFormat="1" applyFont="1" applyFill="1" applyProtection="1">
      <protection hidden="1"/>
    </xf>
    <xf numFmtId="164" fontId="0" fillId="0" borderId="0" xfId="0" applyFill="1" applyAlignment="1">
      <alignment horizontal="centerContinuous"/>
    </xf>
    <xf numFmtId="171" fontId="4" fillId="5" borderId="6" xfId="1" quotePrefix="1" applyNumberFormat="1" applyFont="1" applyFill="1" applyBorder="1" applyAlignment="1" applyProtection="1">
      <alignment horizontal="left"/>
      <protection locked="0"/>
    </xf>
    <xf numFmtId="164" fontId="13" fillId="2" borderId="2" xfId="0" applyFont="1" applyFill="1" applyBorder="1" applyAlignment="1" applyProtection="1">
      <alignment horizontal="centerContinuous"/>
    </xf>
    <xf numFmtId="164" fontId="18" fillId="2" borderId="2" xfId="0" applyNumberFormat="1" applyFont="1" applyFill="1" applyBorder="1" applyAlignment="1" applyProtection="1">
      <alignment horizontal="left"/>
    </xf>
    <xf numFmtId="164" fontId="22" fillId="8" borderId="0" xfId="0" quotePrefix="1" applyFont="1" applyFill="1" applyBorder="1" applyAlignment="1" applyProtection="1">
      <alignment horizontal="left"/>
    </xf>
    <xf numFmtId="164" fontId="5" fillId="3" borderId="3" xfId="0" applyFont="1" applyFill="1" applyBorder="1" applyAlignment="1" applyProtection="1">
      <alignment horizontal="left"/>
    </xf>
    <xf numFmtId="164" fontId="3" fillId="8" borderId="9" xfId="0" applyFont="1" applyFill="1" applyBorder="1" applyAlignment="1" applyProtection="1">
      <alignment horizontal="left"/>
    </xf>
    <xf numFmtId="164" fontId="3" fillId="8" borderId="11" xfId="0" applyFont="1" applyFill="1" applyBorder="1" applyAlignment="1" applyProtection="1">
      <alignment horizontal="left"/>
    </xf>
    <xf numFmtId="164" fontId="3" fillId="8" borderId="9" xfId="0" applyNumberFormat="1" applyFont="1" applyFill="1" applyBorder="1" applyProtection="1"/>
    <xf numFmtId="164" fontId="3" fillId="8" borderId="11" xfId="0" applyNumberFormat="1" applyFont="1" applyFill="1" applyBorder="1" applyAlignment="1" applyProtection="1">
      <alignment horizontal="left"/>
    </xf>
    <xf numFmtId="164" fontId="3" fillId="8" borderId="14" xfId="0" applyNumberFormat="1" applyFont="1" applyFill="1" applyBorder="1" applyProtection="1"/>
    <xf numFmtId="164" fontId="3" fillId="8" borderId="18" xfId="0" applyNumberFormat="1" applyFont="1" applyFill="1" applyBorder="1" applyProtection="1"/>
    <xf numFmtId="164" fontId="40" fillId="0" borderId="0" xfId="0" applyFont="1" applyFill="1"/>
    <xf numFmtId="164" fontId="32" fillId="0" borderId="0" xfId="0" applyFont="1" applyFill="1" applyAlignment="1">
      <alignment horizontal="centerContinuous"/>
    </xf>
    <xf numFmtId="164" fontId="40" fillId="0" borderId="0" xfId="0" applyFont="1" applyFill="1" applyAlignment="1">
      <alignment horizontal="centerContinuous"/>
    </xf>
    <xf numFmtId="164" fontId="34" fillId="5" borderId="6" xfId="0" applyFont="1" applyFill="1" applyBorder="1" applyProtection="1">
      <protection locked="0"/>
    </xf>
    <xf numFmtId="164" fontId="41" fillId="5" borderId="9" xfId="0" applyFont="1" applyFill="1" applyBorder="1" applyProtection="1">
      <protection locked="0"/>
    </xf>
    <xf numFmtId="164" fontId="41" fillId="5" borderId="4" xfId="0" applyFont="1" applyFill="1" applyBorder="1" applyProtection="1">
      <protection locked="0"/>
    </xf>
    <xf numFmtId="167" fontId="23" fillId="5" borderId="5" xfId="0" applyNumberFormat="1" applyFont="1" applyFill="1" applyBorder="1" applyProtection="1">
      <protection locked="0"/>
    </xf>
    <xf numFmtId="167" fontId="23" fillId="5" borderId="0" xfId="0" applyNumberFormat="1" applyFont="1" applyFill="1" applyBorder="1"/>
    <xf numFmtId="164" fontId="1" fillId="0" borderId="3" xfId="0" applyFont="1" applyBorder="1"/>
    <xf numFmtId="164" fontId="23" fillId="5" borderId="11" xfId="0" applyNumberFormat="1" applyFont="1" applyFill="1" applyBorder="1" applyProtection="1">
      <protection locked="0"/>
    </xf>
    <xf numFmtId="164" fontId="23" fillId="5" borderId="7" xfId="0" applyNumberFormat="1" applyFont="1" applyFill="1" applyBorder="1" applyProtection="1">
      <protection locked="0"/>
    </xf>
    <xf numFmtId="164" fontId="23" fillId="5" borderId="6" xfId="0" applyNumberFormat="1" applyFont="1" applyFill="1" applyBorder="1" applyProtection="1">
      <protection locked="0"/>
    </xf>
    <xf numFmtId="164" fontId="23" fillId="5" borderId="5" xfId="0" applyNumberFormat="1" applyFont="1" applyFill="1" applyBorder="1" applyProtection="1">
      <protection locked="0"/>
    </xf>
    <xf numFmtId="164" fontId="23" fillId="8" borderId="3" xfId="0" applyNumberFormat="1" applyFont="1" applyFill="1" applyBorder="1"/>
    <xf numFmtId="10" fontId="29" fillId="5" borderId="5" xfId="3" applyNumberFormat="1" applyFont="1" applyFill="1" applyBorder="1" applyProtection="1">
      <protection locked="0"/>
    </xf>
    <xf numFmtId="164" fontId="0" fillId="0" borderId="1" xfId="0" applyBorder="1"/>
    <xf numFmtId="164" fontId="2" fillId="0" borderId="3" xfId="0" applyFont="1" applyBorder="1"/>
    <xf numFmtId="9" fontId="23" fillId="5" borderId="11" xfId="3" applyNumberFormat="1" applyFont="1" applyFill="1" applyBorder="1" applyProtection="1">
      <protection locked="0"/>
    </xf>
    <xf numFmtId="9" fontId="23" fillId="5" borderId="5" xfId="3" applyNumberFormat="1" applyFont="1" applyFill="1" applyBorder="1" applyProtection="1">
      <protection locked="0"/>
    </xf>
    <xf numFmtId="9" fontId="29" fillId="8" borderId="12" xfId="3" applyNumberFormat="1" applyFont="1" applyFill="1" applyBorder="1"/>
    <xf numFmtId="9" fontId="32" fillId="0" borderId="12" xfId="3" applyNumberFormat="1" applyFont="1" applyBorder="1"/>
    <xf numFmtId="9" fontId="23" fillId="5" borderId="5" xfId="3" applyFont="1" applyFill="1" applyBorder="1" applyProtection="1">
      <protection locked="0"/>
    </xf>
    <xf numFmtId="164" fontId="2" fillId="8" borderId="3" xfId="0" applyFont="1" applyFill="1" applyBorder="1"/>
    <xf numFmtId="171" fontId="32" fillId="0" borderId="12" xfId="1" applyNumberFormat="1" applyFont="1" applyBorder="1"/>
    <xf numFmtId="164" fontId="2" fillId="0" borderId="3" xfId="0" applyFont="1" applyBorder="1" applyAlignment="1">
      <alignment horizontal="center"/>
    </xf>
    <xf numFmtId="164" fontId="2" fillId="8" borderId="3" xfId="0" applyFont="1" applyFill="1" applyBorder="1" applyAlignment="1">
      <alignment horizontal="center"/>
    </xf>
    <xf numFmtId="166" fontId="29" fillId="0" borderId="12" xfId="3" applyNumberFormat="1" applyFont="1" applyFill="1" applyBorder="1" applyProtection="1">
      <protection locked="0"/>
    </xf>
    <xf numFmtId="166" fontId="29" fillId="0" borderId="5" xfId="3" applyNumberFormat="1" applyFont="1" applyFill="1" applyBorder="1" applyProtection="1">
      <protection locked="0"/>
    </xf>
    <xf numFmtId="171" fontId="29" fillId="0" borderId="11" xfId="1" applyNumberFormat="1" applyFont="1" applyFill="1" applyBorder="1" applyProtection="1">
      <protection locked="0"/>
    </xf>
    <xf numFmtId="171" fontId="29" fillId="0" borderId="5" xfId="1" applyNumberFormat="1" applyFont="1" applyFill="1" applyBorder="1" applyProtection="1">
      <protection locked="0"/>
    </xf>
    <xf numFmtId="10" fontId="29" fillId="0" borderId="5" xfId="3" applyNumberFormat="1" applyFont="1" applyFill="1" applyBorder="1" applyProtection="1">
      <protection locked="0"/>
    </xf>
    <xf numFmtId="171" fontId="29" fillId="0" borderId="7" xfId="1" applyNumberFormat="1" applyFont="1" applyFill="1" applyBorder="1" applyProtection="1">
      <protection locked="0"/>
    </xf>
    <xf numFmtId="166" fontId="29" fillId="0" borderId="11" xfId="3" applyNumberFormat="1" applyFont="1" applyFill="1" applyBorder="1" applyProtection="1">
      <protection locked="0"/>
    </xf>
    <xf numFmtId="171" fontId="29" fillId="0" borderId="6" xfId="1" applyNumberFormat="1" applyFont="1" applyFill="1" applyBorder="1" applyProtection="1">
      <protection locked="0"/>
    </xf>
    <xf numFmtId="10" fontId="29" fillId="0" borderId="6" xfId="3" applyNumberFormat="1" applyFont="1" applyFill="1" applyBorder="1" applyProtection="1">
      <protection locked="0"/>
    </xf>
    <xf numFmtId="171" fontId="29" fillId="0" borderId="12" xfId="1" applyNumberFormat="1" applyFont="1" applyFill="1" applyBorder="1"/>
    <xf numFmtId="10" fontId="29" fillId="0" borderId="11" xfId="3" applyNumberFormat="1" applyFont="1" applyFill="1" applyBorder="1" applyProtection="1">
      <protection locked="0"/>
    </xf>
    <xf numFmtId="10" fontId="29" fillId="0" borderId="7" xfId="3" applyNumberFormat="1" applyFont="1" applyFill="1" applyBorder="1" applyProtection="1">
      <protection locked="0"/>
    </xf>
    <xf numFmtId="10" fontId="23" fillId="0" borderId="6" xfId="3" applyNumberFormat="1" applyFont="1" applyFill="1" applyBorder="1" applyProtection="1">
      <protection locked="0"/>
    </xf>
    <xf numFmtId="1" fontId="29" fillId="0" borderId="12" xfId="3" applyNumberFormat="1" applyFont="1" applyFill="1" applyBorder="1" applyProtection="1">
      <protection locked="0"/>
    </xf>
    <xf numFmtId="171" fontId="3" fillId="8" borderId="0" xfId="1" applyNumberFormat="1" applyFont="1" applyFill="1" applyBorder="1" applyProtection="1">
      <protection hidden="1"/>
    </xf>
    <xf numFmtId="164" fontId="10" fillId="8" borderId="17" xfId="0" applyFont="1" applyFill="1" applyBorder="1" applyProtection="1">
      <protection hidden="1"/>
    </xf>
    <xf numFmtId="164" fontId="2" fillId="0" borderId="12" xfId="0" applyFont="1" applyBorder="1" applyAlignment="1">
      <alignment horizontal="center"/>
    </xf>
    <xf numFmtId="164" fontId="2" fillId="0" borderId="12" xfId="0" applyFont="1" applyBorder="1" applyAlignment="1">
      <alignment horizontal="left"/>
    </xf>
    <xf numFmtId="171" fontId="29" fillId="0" borderId="12" xfId="1" applyNumberFormat="1" applyFont="1" applyFill="1" applyBorder="1" applyProtection="1">
      <protection locked="0"/>
    </xf>
    <xf numFmtId="3" fontId="17" fillId="8" borderId="0" xfId="0" applyNumberFormat="1" applyFont="1" applyFill="1" applyBorder="1"/>
    <xf numFmtId="171" fontId="3" fillId="8" borderId="0" xfId="1" applyNumberFormat="1" applyFont="1" applyFill="1" applyBorder="1"/>
    <xf numFmtId="171" fontId="3" fillId="8" borderId="6" xfId="1" applyNumberFormat="1" applyFont="1" applyFill="1" applyBorder="1" applyProtection="1"/>
    <xf numFmtId="171" fontId="3" fillId="8" borderId="28" xfId="1" applyNumberFormat="1" applyFont="1" applyFill="1" applyBorder="1" applyProtection="1">
      <protection hidden="1"/>
    </xf>
    <xf numFmtId="171" fontId="32" fillId="8" borderId="0" xfId="1" applyNumberFormat="1" applyFont="1" applyFill="1" applyProtection="1">
      <protection hidden="1"/>
    </xf>
    <xf numFmtId="171" fontId="3" fillId="8" borderId="0" xfId="1" applyNumberFormat="1" applyFont="1" applyFill="1" applyAlignment="1" applyProtection="1">
      <alignment horizontal="fill"/>
      <protection hidden="1"/>
    </xf>
    <xf numFmtId="171" fontId="0" fillId="8" borderId="0" xfId="1" applyNumberFormat="1" applyFont="1" applyFill="1" applyProtection="1">
      <protection hidden="1"/>
    </xf>
    <xf numFmtId="171" fontId="25" fillId="8" borderId="0" xfId="1" applyNumberFormat="1" applyFont="1" applyFill="1" applyProtection="1">
      <protection hidden="1"/>
    </xf>
    <xf numFmtId="171" fontId="25" fillId="8" borderId="29" xfId="1" applyNumberFormat="1" applyFont="1" applyFill="1" applyBorder="1" applyProtection="1">
      <protection hidden="1"/>
    </xf>
    <xf numFmtId="171" fontId="25" fillId="8" borderId="17" xfId="1" applyNumberFormat="1" applyFont="1" applyFill="1" applyBorder="1" applyProtection="1">
      <protection hidden="1"/>
    </xf>
    <xf numFmtId="164" fontId="17" fillId="8" borderId="0" xfId="0" applyFont="1" applyFill="1" applyBorder="1" applyAlignment="1" applyProtection="1">
      <alignment horizontal="left"/>
      <protection hidden="1"/>
    </xf>
    <xf numFmtId="164" fontId="10" fillId="8" borderId="0" xfId="0" applyFont="1" applyFill="1" applyBorder="1" applyAlignment="1" applyProtection="1">
      <alignment horizontal="left"/>
      <protection hidden="1"/>
    </xf>
    <xf numFmtId="171" fontId="3" fillId="8" borderId="0" xfId="1" applyNumberFormat="1" applyFont="1" applyFill="1" applyBorder="1" applyAlignment="1" applyProtection="1"/>
    <xf numFmtId="171" fontId="3" fillId="8" borderId="0" xfId="1" applyNumberFormat="1" applyFont="1" applyFill="1" applyBorder="1" applyProtection="1"/>
    <xf numFmtId="171" fontId="3" fillId="8" borderId="17" xfId="1" applyNumberFormat="1" applyFont="1" applyFill="1" applyBorder="1" applyProtection="1"/>
    <xf numFmtId="171" fontId="3" fillId="8" borderId="24" xfId="1" applyNumberFormat="1" applyFont="1" applyFill="1" applyBorder="1" applyProtection="1"/>
    <xf numFmtId="171" fontId="3" fillId="8" borderId="30" xfId="1" applyNumberFormat="1" applyFont="1" applyFill="1" applyBorder="1" applyProtection="1"/>
    <xf numFmtId="10" fontId="32" fillId="8" borderId="12" xfId="3" applyNumberFormat="1" applyFont="1" applyFill="1" applyBorder="1"/>
    <xf numFmtId="9" fontId="32" fillId="8" borderId="12" xfId="3" applyNumberFormat="1" applyFont="1" applyFill="1" applyBorder="1"/>
    <xf numFmtId="171" fontId="32" fillId="8" borderId="12" xfId="1" applyNumberFormat="1" applyFont="1" applyFill="1" applyBorder="1"/>
    <xf numFmtId="171" fontId="4" fillId="5" borderId="6" xfId="1" applyNumberFormat="1" applyFont="1" applyFill="1" applyBorder="1"/>
    <xf numFmtId="171" fontId="3" fillId="8" borderId="7" xfId="1" applyNumberFormat="1" applyFont="1" applyFill="1" applyBorder="1" applyProtection="1"/>
    <xf numFmtId="43" fontId="3" fillId="8" borderId="17" xfId="1" applyFont="1" applyFill="1" applyBorder="1" applyProtection="1">
      <protection hidden="1"/>
    </xf>
    <xf numFmtId="164" fontId="10" fillId="8" borderId="17" xfId="0" applyFont="1" applyFill="1" applyBorder="1" applyAlignment="1" applyProtection="1">
      <alignment horizontal="left"/>
      <protection hidden="1"/>
    </xf>
    <xf numFmtId="166" fontId="3" fillId="8" borderId="17" xfId="0" applyNumberFormat="1" applyFont="1" applyFill="1" applyBorder="1" applyProtection="1">
      <protection hidden="1"/>
    </xf>
    <xf numFmtId="164" fontId="10" fillId="8" borderId="0" xfId="0" applyFont="1" applyFill="1" applyBorder="1" applyAlignment="1" applyProtection="1">
      <protection hidden="1"/>
    </xf>
    <xf numFmtId="164" fontId="10" fillId="8" borderId="17" xfId="0" applyFont="1" applyFill="1" applyBorder="1" applyAlignment="1" applyProtection="1">
      <protection hidden="1"/>
    </xf>
    <xf numFmtId="164" fontId="42" fillId="7" borderId="0" xfId="0" applyNumberFormat="1" applyFont="1" applyFill="1" applyAlignment="1" applyProtection="1">
      <alignment horizontal="left"/>
      <protection hidden="1"/>
    </xf>
    <xf numFmtId="164" fontId="32" fillId="0" borderId="0" xfId="0" applyFont="1" applyBorder="1"/>
    <xf numFmtId="168" fontId="23" fillId="0" borderId="0" xfId="0" applyNumberFormat="1" applyFont="1" applyFill="1" applyBorder="1" applyProtection="1">
      <protection locked="0"/>
    </xf>
    <xf numFmtId="167" fontId="23" fillId="5" borderId="7" xfId="0" applyNumberFormat="1" applyFont="1" applyFill="1" applyBorder="1"/>
    <xf numFmtId="43" fontId="23" fillId="5" borderId="8" xfId="1" applyFont="1" applyFill="1" applyBorder="1"/>
    <xf numFmtId="43" fontId="23" fillId="5" borderId="13" xfId="1" applyFont="1" applyFill="1" applyBorder="1"/>
    <xf numFmtId="171" fontId="23" fillId="5" borderId="8" xfId="1" applyNumberFormat="1" applyFont="1" applyFill="1" applyBorder="1"/>
    <xf numFmtId="10" fontId="23" fillId="5" borderId="6" xfId="3" applyNumberFormat="1" applyFont="1" applyFill="1" applyBorder="1"/>
    <xf numFmtId="10" fontId="35" fillId="5" borderId="8" xfId="3" applyNumberFormat="1" applyFont="1" applyFill="1" applyBorder="1"/>
    <xf numFmtId="164" fontId="1" fillId="8" borderId="12" xfId="0" applyFont="1" applyFill="1" applyBorder="1" applyAlignment="1">
      <alignment horizontal="left"/>
    </xf>
    <xf numFmtId="164" fontId="23" fillId="5" borderId="12" xfId="0" applyNumberFormat="1" applyFont="1" applyFill="1" applyBorder="1" applyProtection="1">
      <protection locked="0"/>
    </xf>
    <xf numFmtId="164" fontId="26" fillId="8" borderId="17" xfId="0" applyFont="1" applyFill="1" applyBorder="1" applyAlignment="1" applyProtection="1">
      <alignment horizontal="left"/>
      <protection hidden="1"/>
    </xf>
    <xf numFmtId="164" fontId="26" fillId="8" borderId="0" xfId="0" applyFont="1" applyFill="1" applyBorder="1" applyAlignment="1" applyProtection="1">
      <alignment horizontal="left"/>
      <protection hidden="1"/>
    </xf>
    <xf numFmtId="171" fontId="25" fillId="8" borderId="0" xfId="1" applyNumberFormat="1" applyFont="1" applyFill="1" applyBorder="1" applyProtection="1">
      <protection hidden="1"/>
    </xf>
    <xf numFmtId="164" fontId="44" fillId="8" borderId="0" xfId="0" applyFont="1" applyFill="1" applyAlignment="1" applyProtection="1">
      <alignment horizontal="centerContinuous"/>
      <protection hidden="1"/>
    </xf>
    <xf numFmtId="164" fontId="12" fillId="7" borderId="31" xfId="0" applyFont="1" applyFill="1" applyBorder="1" applyAlignment="1">
      <alignment horizontal="left"/>
    </xf>
    <xf numFmtId="171" fontId="0" fillId="0" borderId="0" xfId="1" applyNumberFormat="1" applyFont="1"/>
    <xf numFmtId="1" fontId="13" fillId="7" borderId="17" xfId="1" applyNumberFormat="1" applyFont="1" applyFill="1" applyBorder="1" applyAlignment="1">
      <alignment horizontal="center"/>
    </xf>
    <xf numFmtId="172" fontId="3" fillId="8" borderId="0" xfId="1" applyNumberFormat="1" applyFont="1" applyFill="1" applyProtection="1">
      <protection hidden="1"/>
    </xf>
    <xf numFmtId="164" fontId="14" fillId="8" borderId="17" xfId="0" applyFont="1" applyFill="1" applyBorder="1" applyProtection="1">
      <protection locked="0"/>
    </xf>
    <xf numFmtId="164" fontId="45" fillId="0" borderId="12" xfId="0" applyNumberFormat="1" applyFont="1" applyBorder="1" applyProtection="1"/>
    <xf numFmtId="164" fontId="5" fillId="8" borderId="0" xfId="0" applyFont="1" applyFill="1" applyBorder="1" applyProtection="1">
      <protection hidden="1"/>
    </xf>
    <xf numFmtId="165" fontId="27" fillId="8" borderId="0" xfId="0" applyNumberFormat="1" applyFont="1" applyFill="1" applyBorder="1" applyProtection="1">
      <protection hidden="1"/>
    </xf>
    <xf numFmtId="171" fontId="32" fillId="8" borderId="0" xfId="1" applyNumberFormat="1" applyFont="1" applyFill="1"/>
    <xf numFmtId="169" fontId="3" fillId="8" borderId="0" xfId="0" applyNumberFormat="1" applyFont="1" applyFill="1" applyBorder="1" applyAlignment="1" applyProtection="1">
      <alignment horizontal="left"/>
    </xf>
    <xf numFmtId="169" fontId="3" fillId="8" borderId="0" xfId="0" applyNumberFormat="1" applyFont="1" applyFill="1" applyBorder="1"/>
    <xf numFmtId="164" fontId="46" fillId="8" borderId="0" xfId="0" applyFont="1" applyFill="1"/>
    <xf numFmtId="164" fontId="0" fillId="8" borderId="0" xfId="0" applyFill="1" applyBorder="1"/>
    <xf numFmtId="164" fontId="20" fillId="8" borderId="0" xfId="0" applyNumberFormat="1" applyFont="1" applyFill="1" applyBorder="1" applyAlignment="1" applyProtection="1">
      <alignment horizontal="center"/>
    </xf>
    <xf numFmtId="164" fontId="12" fillId="6" borderId="0" xfId="0" applyFont="1" applyFill="1" applyBorder="1" applyAlignment="1" applyProtection="1">
      <alignment horizontal="centerContinuous"/>
    </xf>
    <xf numFmtId="164" fontId="35" fillId="6" borderId="0" xfId="0" applyFont="1" applyFill="1" applyBorder="1"/>
    <xf numFmtId="164" fontId="12" fillId="6" borderId="0" xfId="0" applyFont="1" applyFill="1" applyBorder="1" applyAlignment="1" applyProtection="1">
      <alignment horizontal="left"/>
    </xf>
    <xf numFmtId="164" fontId="5" fillId="8" borderId="0" xfId="0" applyFont="1" applyFill="1" applyBorder="1" applyAlignment="1" applyProtection="1">
      <alignment horizontal="left"/>
    </xf>
    <xf numFmtId="164" fontId="3" fillId="8" borderId="0" xfId="0" applyFont="1" applyFill="1" applyBorder="1" applyProtection="1">
      <protection hidden="1"/>
    </xf>
    <xf numFmtId="167" fontId="3" fillId="8" borderId="0" xfId="0" applyNumberFormat="1" applyFont="1" applyFill="1" applyBorder="1" applyProtection="1">
      <protection hidden="1"/>
    </xf>
    <xf numFmtId="43" fontId="3" fillId="8" borderId="0" xfId="1" applyNumberFormat="1" applyFont="1" applyFill="1" applyBorder="1" applyProtection="1">
      <protection hidden="1"/>
    </xf>
    <xf numFmtId="3" fontId="12" fillId="6" borderId="0" xfId="0" applyNumberFormat="1" applyFont="1" applyFill="1" applyBorder="1"/>
    <xf numFmtId="164" fontId="32" fillId="8" borderId="0" xfId="0" applyFont="1" applyFill="1"/>
    <xf numFmtId="164" fontId="45" fillId="8" borderId="12" xfId="0" applyFont="1" applyFill="1" applyBorder="1"/>
    <xf numFmtId="1" fontId="3" fillId="8" borderId="0" xfId="1" applyNumberFormat="1" applyFont="1" applyFill="1" applyBorder="1" applyProtection="1">
      <protection hidden="1"/>
    </xf>
    <xf numFmtId="3" fontId="3" fillId="4" borderId="17" xfId="0" applyNumberFormat="1" applyFont="1" applyFill="1" applyBorder="1"/>
    <xf numFmtId="3" fontId="3" fillId="4" borderId="0" xfId="0" applyNumberFormat="1" applyFont="1" applyFill="1" applyBorder="1"/>
    <xf numFmtId="1" fontId="3" fillId="4" borderId="0" xfId="0" applyNumberFormat="1" applyFont="1" applyFill="1" applyBorder="1"/>
    <xf numFmtId="171" fontId="4" fillId="4" borderId="0" xfId="1" applyNumberFormat="1" applyFont="1" applyFill="1" applyBorder="1" applyProtection="1">
      <protection locked="0"/>
    </xf>
    <xf numFmtId="1" fontId="47" fillId="4" borderId="0" xfId="1" applyNumberFormat="1" applyFont="1" applyFill="1" applyBorder="1" applyAlignment="1" applyProtection="1">
      <alignment horizontal="right"/>
      <protection locked="0"/>
    </xf>
    <xf numFmtId="1" fontId="47" fillId="5" borderId="32" xfId="1" applyNumberFormat="1" applyFont="1" applyFill="1" applyBorder="1" applyProtection="1">
      <protection locked="0"/>
    </xf>
    <xf numFmtId="171" fontId="47" fillId="4" borderId="0" xfId="1" applyNumberFormat="1" applyFont="1" applyFill="1" applyBorder="1" applyProtection="1">
      <protection locked="0"/>
    </xf>
    <xf numFmtId="164" fontId="3" fillId="8" borderId="0" xfId="0" applyFont="1" applyFill="1" applyAlignment="1" applyProtection="1">
      <alignment horizontal="left"/>
    </xf>
    <xf numFmtId="164" fontId="3" fillId="8" borderId="0" xfId="0" applyFont="1" applyFill="1" applyBorder="1" applyAlignment="1">
      <alignment horizontal="left"/>
    </xf>
    <xf numFmtId="171" fontId="3" fillId="8" borderId="0" xfId="1" applyNumberFormat="1" applyFont="1" applyFill="1"/>
    <xf numFmtId="0" fontId="3" fillId="8" borderId="0" xfId="0" applyNumberFormat="1" applyFont="1" applyFill="1" applyBorder="1" applyAlignment="1" applyProtection="1">
      <alignment horizontal="left"/>
      <protection hidden="1"/>
    </xf>
    <xf numFmtId="3" fontId="3" fillId="8" borderId="0" xfId="0" applyNumberFormat="1" applyFont="1" applyFill="1" applyBorder="1" applyAlignment="1" applyProtection="1">
      <alignment horizontal="left"/>
      <protection hidden="1"/>
    </xf>
    <xf numFmtId="3" fontId="17" fillId="8" borderId="32" xfId="0" applyNumberFormat="1" applyFont="1" applyFill="1" applyBorder="1" applyProtection="1">
      <protection hidden="1"/>
    </xf>
    <xf numFmtId="1" fontId="20" fillId="8" borderId="32" xfId="1" applyNumberFormat="1" applyFont="1" applyFill="1" applyBorder="1"/>
    <xf numFmtId="164" fontId="17" fillId="8" borderId="0" xfId="0" applyFont="1" applyFill="1"/>
    <xf numFmtId="3" fontId="32" fillId="8" borderId="0" xfId="0" applyNumberFormat="1" applyFont="1" applyFill="1"/>
    <xf numFmtId="164" fontId="32" fillId="8" borderId="0" xfId="0" applyFont="1" applyFill="1" applyAlignment="1">
      <alignment horizontal="centerContinuous"/>
    </xf>
    <xf numFmtId="164" fontId="43" fillId="8" borderId="0" xfId="0" applyFont="1" applyFill="1" applyAlignment="1">
      <alignment horizontal="centerContinuous"/>
    </xf>
    <xf numFmtId="164" fontId="38" fillId="8" borderId="0" xfId="0" applyFont="1" applyFill="1" applyAlignment="1">
      <alignment horizontal="centerContinuous"/>
    </xf>
    <xf numFmtId="164" fontId="47" fillId="4" borderId="0" xfId="0" applyFont="1" applyFill="1" applyBorder="1" applyAlignment="1" applyProtection="1">
      <alignment horizontal="left"/>
      <protection locked="0"/>
    </xf>
    <xf numFmtId="164" fontId="3" fillId="4" borderId="0" xfId="0" applyFont="1" applyFill="1" applyBorder="1"/>
    <xf numFmtId="164" fontId="3" fillId="4" borderId="0" xfId="0" applyFont="1" applyFill="1" applyBorder="1" applyAlignment="1" applyProtection="1">
      <alignment horizontal="left"/>
    </xf>
    <xf numFmtId="164" fontId="4" fillId="4" borderId="0" xfId="0" applyFont="1" applyFill="1" applyBorder="1" applyAlignment="1" applyProtection="1">
      <alignment horizontal="left"/>
      <protection locked="0"/>
    </xf>
    <xf numFmtId="164" fontId="47" fillId="4" borderId="0" xfId="0" applyFont="1" applyFill="1" applyBorder="1" applyProtection="1">
      <protection locked="0"/>
    </xf>
    <xf numFmtId="164" fontId="3" fillId="4" borderId="0" xfId="0" applyNumberFormat="1" applyFont="1" applyFill="1" applyBorder="1" applyProtection="1"/>
    <xf numFmtId="164" fontId="4" fillId="4" borderId="0" xfId="0" applyNumberFormat="1" applyFont="1" applyFill="1" applyBorder="1" applyProtection="1">
      <protection locked="0"/>
    </xf>
    <xf numFmtId="164" fontId="4" fillId="4" borderId="0" xfId="0" applyNumberFormat="1" applyFont="1" applyFill="1" applyBorder="1" applyAlignment="1" applyProtection="1">
      <alignment horizontal="left"/>
      <protection locked="0"/>
    </xf>
    <xf numFmtId="166" fontId="4" fillId="4" borderId="0" xfId="0" applyNumberFormat="1" applyFont="1" applyFill="1" applyBorder="1" applyProtection="1">
      <protection locked="0"/>
    </xf>
    <xf numFmtId="169" fontId="4" fillId="4" borderId="0" xfId="0" applyNumberFormat="1" applyFont="1" applyFill="1" applyBorder="1" applyProtection="1">
      <protection locked="0"/>
    </xf>
    <xf numFmtId="170" fontId="4" fillId="4" borderId="0" xfId="1" applyNumberFormat="1" applyFont="1" applyFill="1" applyBorder="1" applyProtection="1">
      <protection locked="0"/>
    </xf>
    <xf numFmtId="9" fontId="4" fillId="4" borderId="0" xfId="3" applyFont="1" applyFill="1" applyBorder="1" applyProtection="1">
      <protection locked="0"/>
    </xf>
    <xf numFmtId="168" fontId="4" fillId="4" borderId="0" xfId="0" applyNumberFormat="1" applyFont="1" applyFill="1" applyBorder="1"/>
    <xf numFmtId="10" fontId="4" fillId="4" borderId="0" xfId="3" applyNumberFormat="1" applyFont="1" applyFill="1" applyBorder="1" applyProtection="1">
      <protection locked="0"/>
    </xf>
    <xf numFmtId="169" fontId="4" fillId="4" borderId="0" xfId="0" applyNumberFormat="1" applyFont="1" applyFill="1" applyBorder="1" applyProtection="1"/>
    <xf numFmtId="9" fontId="4" fillId="4" borderId="0" xfId="0" applyNumberFormat="1" applyFont="1" applyFill="1" applyBorder="1" applyProtection="1">
      <protection locked="0"/>
    </xf>
    <xf numFmtId="171" fontId="4" fillId="4" borderId="17" xfId="1" applyNumberFormat="1" applyFont="1" applyFill="1" applyBorder="1" applyProtection="1">
      <protection locked="0"/>
    </xf>
    <xf numFmtId="10" fontId="47" fillId="4" borderId="0" xfId="3" applyNumberFormat="1" applyFont="1" applyFill="1" applyBorder="1" applyProtection="1">
      <protection locked="0"/>
    </xf>
    <xf numFmtId="9" fontId="47" fillId="4" borderId="17" xfId="3" applyFont="1" applyFill="1" applyBorder="1" applyProtection="1">
      <protection locked="0"/>
    </xf>
    <xf numFmtId="164" fontId="18" fillId="6" borderId="9" xfId="0" applyFont="1" applyFill="1" applyBorder="1" applyAlignment="1" applyProtection="1">
      <alignment horizontal="left"/>
    </xf>
    <xf numFmtId="164" fontId="8" fillId="6" borderId="10" xfId="0" applyFont="1" applyFill="1" applyBorder="1"/>
    <xf numFmtId="164" fontId="7" fillId="6" borderId="10" xfId="0" applyFont="1" applyFill="1" applyBorder="1" applyAlignment="1" applyProtection="1">
      <alignment horizontal="left"/>
    </xf>
    <xf numFmtId="164" fontId="7" fillId="6" borderId="10" xfId="0" applyFont="1" applyFill="1" applyBorder="1" applyProtection="1"/>
    <xf numFmtId="164" fontId="7" fillId="6" borderId="10" xfId="0" applyFont="1" applyFill="1" applyBorder="1" applyAlignment="1" applyProtection="1">
      <alignment horizontal="right"/>
    </xf>
    <xf numFmtId="164" fontId="7" fillId="6" borderId="10" xfId="0" applyFont="1" applyFill="1" applyBorder="1"/>
    <xf numFmtId="164" fontId="3" fillId="8" borderId="16" xfId="0" applyFont="1" applyFill="1" applyBorder="1"/>
    <xf numFmtId="171" fontId="3" fillId="8" borderId="16" xfId="1" applyNumberFormat="1" applyFont="1" applyFill="1" applyBorder="1"/>
    <xf numFmtId="3" fontId="7" fillId="6" borderId="13" xfId="0" applyNumberFormat="1" applyFont="1" applyFill="1" applyBorder="1"/>
    <xf numFmtId="3" fontId="3" fillId="8" borderId="33" xfId="0" applyNumberFormat="1" applyFont="1" applyFill="1" applyBorder="1"/>
    <xf numFmtId="164" fontId="3" fillId="8" borderId="34" xfId="0" applyFont="1" applyFill="1" applyBorder="1" applyAlignment="1" applyProtection="1">
      <alignment horizontal="left"/>
    </xf>
    <xf numFmtId="164" fontId="5" fillId="8" borderId="35" xfId="0" applyFont="1" applyFill="1" applyBorder="1" applyAlignment="1" applyProtection="1">
      <alignment horizontal="left"/>
    </xf>
    <xf numFmtId="164" fontId="5" fillId="8" borderId="20" xfId="0" applyFont="1" applyFill="1" applyBorder="1"/>
    <xf numFmtId="164" fontId="5" fillId="8" borderId="21" xfId="0" applyFont="1" applyFill="1" applyBorder="1" applyAlignment="1" applyProtection="1">
      <alignment horizontal="left"/>
    </xf>
    <xf numFmtId="164" fontId="5" fillId="8" borderId="34" xfId="0" applyFont="1" applyFill="1" applyBorder="1" applyAlignment="1" applyProtection="1">
      <alignment horizontal="left"/>
    </xf>
    <xf numFmtId="164" fontId="3" fillId="8" borderId="36" xfId="0" applyNumberFormat="1" applyFont="1" applyFill="1" applyBorder="1" applyProtection="1"/>
    <xf numFmtId="164" fontId="47" fillId="8" borderId="37" xfId="0" applyNumberFormat="1" applyFont="1" applyFill="1" applyBorder="1" applyAlignment="1" applyProtection="1">
      <alignment horizontal="center"/>
      <protection locked="0"/>
    </xf>
    <xf numFmtId="164" fontId="47" fillId="8" borderId="38" xfId="0" applyNumberFormat="1" applyFont="1" applyFill="1" applyBorder="1" applyAlignment="1" applyProtection="1">
      <alignment horizontal="right"/>
      <protection locked="0"/>
    </xf>
    <xf numFmtId="10" fontId="47" fillId="8" borderId="37" xfId="0" applyNumberFormat="1" applyFont="1" applyFill="1" applyBorder="1" applyProtection="1">
      <protection locked="0"/>
    </xf>
    <xf numFmtId="10" fontId="47" fillId="8" borderId="39" xfId="0" applyNumberFormat="1" applyFont="1" applyFill="1" applyBorder="1" applyProtection="1">
      <protection locked="0"/>
    </xf>
    <xf numFmtId="164" fontId="47" fillId="8" borderId="40" xfId="0" applyNumberFormat="1" applyFont="1" applyFill="1" applyBorder="1" applyProtection="1">
      <protection locked="0"/>
    </xf>
    <xf numFmtId="164" fontId="47" fillId="8" borderId="24" xfId="0" applyNumberFormat="1" applyFont="1" applyFill="1" applyBorder="1" applyProtection="1">
      <protection locked="0"/>
    </xf>
    <xf numFmtId="164" fontId="47" fillId="8" borderId="32" xfId="0" applyNumberFormat="1" applyFont="1" applyFill="1" applyBorder="1" applyProtection="1">
      <protection locked="0"/>
    </xf>
    <xf numFmtId="171" fontId="3" fillId="8" borderId="17" xfId="1" applyNumberFormat="1" applyFont="1" applyFill="1" applyBorder="1" applyProtection="1">
      <protection locked="0"/>
    </xf>
    <xf numFmtId="171" fontId="0" fillId="8" borderId="0" xfId="1" applyNumberFormat="1" applyFont="1" applyFill="1"/>
    <xf numFmtId="164" fontId="23" fillId="4" borderId="0" xfId="0" applyFont="1" applyFill="1"/>
    <xf numFmtId="164" fontId="32" fillId="8" borderId="0" xfId="0" applyNumberFormat="1" applyFont="1" applyFill="1" applyProtection="1">
      <protection hidden="1"/>
    </xf>
    <xf numFmtId="164" fontId="32" fillId="8" borderId="0" xfId="0" applyNumberFormat="1" applyFont="1" applyFill="1" applyAlignment="1" applyProtection="1">
      <alignment horizontal="left"/>
      <protection hidden="1"/>
    </xf>
    <xf numFmtId="164" fontId="49" fillId="8" borderId="0" xfId="0" applyNumberFormat="1" applyFont="1" applyFill="1" applyAlignment="1" applyProtection="1">
      <alignment horizontal="left"/>
      <protection hidden="1"/>
    </xf>
    <xf numFmtId="164" fontId="32" fillId="8" borderId="17" xfId="0" applyNumberFormat="1" applyFont="1" applyFill="1" applyBorder="1" applyAlignment="1" applyProtection="1">
      <alignment horizontal="left"/>
      <protection hidden="1"/>
    </xf>
    <xf numFmtId="164" fontId="9" fillId="6" borderId="1" xfId="0" applyFont="1" applyFill="1" applyBorder="1" applyAlignment="1" applyProtection="1">
      <alignment horizontal="centerContinuous"/>
    </xf>
    <xf numFmtId="164" fontId="0" fillId="8" borderId="0" xfId="0" applyFill="1"/>
    <xf numFmtId="164" fontId="5" fillId="8" borderId="0" xfId="0" applyFont="1" applyFill="1" applyAlignment="1" applyProtection="1">
      <alignment horizontal="left"/>
      <protection hidden="1"/>
    </xf>
    <xf numFmtId="171" fontId="3" fillId="8" borderId="0" xfId="1" applyNumberFormat="1" applyFont="1" applyFill="1" applyProtection="1">
      <protection hidden="1"/>
    </xf>
    <xf numFmtId="164" fontId="0" fillId="8" borderId="0" xfId="0" applyFill="1" applyProtection="1">
      <protection hidden="1"/>
    </xf>
    <xf numFmtId="164" fontId="3" fillId="8" borderId="0" xfId="0" applyFont="1" applyFill="1" applyAlignment="1" applyProtection="1">
      <alignment horizontal="left"/>
      <protection hidden="1"/>
    </xf>
    <xf numFmtId="164" fontId="5" fillId="8" borderId="28" xfId="0" applyFont="1" applyFill="1" applyBorder="1" applyAlignment="1" applyProtection="1">
      <alignment horizontal="left"/>
      <protection hidden="1"/>
    </xf>
    <xf numFmtId="171" fontId="3" fillId="8" borderId="28" xfId="1" applyNumberFormat="1" applyFont="1" applyFill="1" applyBorder="1" applyProtection="1">
      <protection hidden="1"/>
    </xf>
    <xf numFmtId="164" fontId="49" fillId="5" borderId="0" xfId="0" applyNumberFormat="1" applyFont="1" applyFill="1" applyAlignment="1" applyProtection="1">
      <alignment horizontal="left"/>
      <protection hidden="1"/>
    </xf>
    <xf numFmtId="171" fontId="32" fillId="5" borderId="0" xfId="1" applyNumberFormat="1" applyFont="1" applyFill="1" applyProtection="1">
      <protection hidden="1"/>
    </xf>
    <xf numFmtId="164" fontId="0" fillId="5" borderId="0" xfId="0" applyFill="1" applyProtection="1">
      <protection hidden="1"/>
    </xf>
    <xf numFmtId="164" fontId="25" fillId="5" borderId="17" xfId="0" applyNumberFormat="1" applyFont="1" applyFill="1" applyBorder="1" applyAlignment="1" applyProtection="1">
      <alignment horizontal="left"/>
      <protection hidden="1"/>
    </xf>
    <xf numFmtId="171" fontId="25" fillId="5" borderId="29" xfId="1" applyNumberFormat="1" applyFont="1" applyFill="1" applyBorder="1" applyProtection="1">
      <protection hidden="1"/>
    </xf>
    <xf numFmtId="171" fontId="4" fillId="5" borderId="41" xfId="1" applyNumberFormat="1" applyFont="1" applyFill="1" applyBorder="1" applyProtection="1">
      <protection locked="0"/>
    </xf>
    <xf numFmtId="164" fontId="3" fillId="8" borderId="0" xfId="0" applyFont="1" applyFill="1" applyAlignment="1" applyProtection="1">
      <protection hidden="1"/>
    </xf>
    <xf numFmtId="164" fontId="3" fillId="8" borderId="17" xfId="0" applyNumberFormat="1" applyFont="1" applyFill="1" applyBorder="1" applyProtection="1">
      <protection hidden="1"/>
    </xf>
    <xf numFmtId="164" fontId="3" fillId="8" borderId="0" xfId="0" applyFont="1" applyFill="1"/>
    <xf numFmtId="164" fontId="51" fillId="8" borderId="0" xfId="0" applyFont="1" applyFill="1"/>
    <xf numFmtId="164" fontId="55" fillId="8" borderId="0" xfId="0" applyFont="1" applyFill="1"/>
    <xf numFmtId="164" fontId="3" fillId="8" borderId="17" xfId="0" applyFont="1" applyFill="1" applyBorder="1"/>
    <xf numFmtId="164" fontId="5" fillId="8" borderId="0" xfId="0" applyFont="1" applyFill="1"/>
    <xf numFmtId="164" fontId="56" fillId="8" borderId="0" xfId="0" applyFont="1" applyFill="1"/>
    <xf numFmtId="164" fontId="53" fillId="8" borderId="0" xfId="0" applyFont="1" applyFill="1"/>
    <xf numFmtId="164" fontId="56" fillId="8" borderId="0" xfId="0" applyFont="1" applyFill="1" applyBorder="1"/>
    <xf numFmtId="164" fontId="51" fillId="8" borderId="0" xfId="0" applyFont="1" applyFill="1" applyBorder="1"/>
    <xf numFmtId="164" fontId="56" fillId="8" borderId="0" xfId="0" applyFont="1" applyFill="1" applyBorder="1" applyAlignment="1">
      <alignment horizontal="center"/>
    </xf>
    <xf numFmtId="164" fontId="3" fillId="8" borderId="0" xfId="0" applyFont="1" applyFill="1" applyBorder="1"/>
    <xf numFmtId="164" fontId="54" fillId="8" borderId="0" xfId="0" applyFont="1" applyFill="1"/>
    <xf numFmtId="171" fontId="47" fillId="8" borderId="0" xfId="1" applyNumberFormat="1" applyFont="1" applyFill="1" applyBorder="1"/>
    <xf numFmtId="9" fontId="47" fillId="8" borderId="0" xfId="3" applyFont="1" applyFill="1" applyBorder="1"/>
    <xf numFmtId="171" fontId="3" fillId="8" borderId="0" xfId="1" applyNumberFormat="1" applyFont="1" applyFill="1" applyBorder="1"/>
    <xf numFmtId="171" fontId="4" fillId="8" borderId="0" xfId="1" applyNumberFormat="1" applyFont="1" applyFill="1" applyBorder="1" applyProtection="1">
      <protection locked="0"/>
    </xf>
    <xf numFmtId="3" fontId="3" fillId="8" borderId="0" xfId="0" applyNumberFormat="1" applyFont="1" applyFill="1" applyBorder="1" applyProtection="1">
      <protection hidden="1"/>
    </xf>
    <xf numFmtId="164" fontId="3" fillId="8" borderId="0" xfId="0" applyFont="1" applyFill="1" applyBorder="1" applyAlignment="1" applyProtection="1">
      <alignment horizontal="left"/>
    </xf>
    <xf numFmtId="171" fontId="4" fillId="8" borderId="0" xfId="1" applyNumberFormat="1" applyFont="1" applyFill="1" applyBorder="1" applyProtection="1"/>
    <xf numFmtId="164" fontId="3" fillId="8" borderId="4" xfId="0" applyFont="1" applyFill="1" applyBorder="1" applyAlignment="1" applyProtection="1">
      <alignment horizontal="left"/>
    </xf>
    <xf numFmtId="164" fontId="5" fillId="8" borderId="17" xfId="0" applyFont="1" applyFill="1" applyBorder="1" applyAlignment="1">
      <alignment horizontal="center"/>
    </xf>
    <xf numFmtId="164" fontId="5" fillId="8" borderId="0" xfId="0" applyFont="1" applyFill="1" applyBorder="1" applyAlignment="1">
      <alignment horizontal="center"/>
    </xf>
    <xf numFmtId="164" fontId="3" fillId="5" borderId="17" xfId="0" applyFont="1" applyFill="1" applyBorder="1"/>
    <xf numFmtId="164" fontId="57" fillId="5" borderId="17" xfId="0" applyFont="1" applyFill="1" applyBorder="1"/>
    <xf numFmtId="164" fontId="3" fillId="9" borderId="0" xfId="0" applyFont="1" applyFill="1"/>
    <xf numFmtId="164" fontId="3" fillId="9" borderId="0" xfId="0" applyFont="1" applyFill="1" applyBorder="1"/>
    <xf numFmtId="171" fontId="3" fillId="9" borderId="0" xfId="1" applyNumberFormat="1" applyFont="1" applyFill="1"/>
    <xf numFmtId="164" fontId="3" fillId="9" borderId="17" xfId="0" applyFont="1" applyFill="1" applyBorder="1"/>
    <xf numFmtId="171" fontId="3" fillId="9" borderId="17" xfId="1" applyNumberFormat="1" applyFont="1" applyFill="1" applyBorder="1"/>
    <xf numFmtId="164" fontId="51" fillId="9" borderId="0" xfId="0" applyFont="1" applyFill="1"/>
    <xf numFmtId="164" fontId="51" fillId="9" borderId="0" xfId="0" applyFont="1" applyFill="1" applyBorder="1"/>
    <xf numFmtId="9" fontId="3" fillId="9" borderId="0" xfId="3" applyFont="1" applyFill="1"/>
    <xf numFmtId="164" fontId="55" fillId="9" borderId="0" xfId="0" applyFont="1" applyFill="1"/>
    <xf numFmtId="164" fontId="5" fillId="9" borderId="0" xfId="0" applyFont="1" applyFill="1"/>
    <xf numFmtId="164" fontId="3" fillId="10" borderId="0" xfId="0" applyFont="1" applyFill="1" applyBorder="1" applyAlignment="1" applyProtection="1">
      <alignment horizontal="left"/>
    </xf>
    <xf numFmtId="164" fontId="3" fillId="10" borderId="0" xfId="0" applyFont="1" applyFill="1" applyBorder="1"/>
    <xf numFmtId="164" fontId="3" fillId="10" borderId="17" xfId="0" applyFont="1" applyFill="1" applyBorder="1" applyAlignment="1" applyProtection="1">
      <alignment horizontal="left"/>
    </xf>
    <xf numFmtId="164" fontId="3" fillId="10" borderId="17" xfId="0" applyFont="1" applyFill="1" applyBorder="1"/>
    <xf numFmtId="164" fontId="5" fillId="8" borderId="17" xfId="0" applyFont="1" applyFill="1" applyBorder="1"/>
    <xf numFmtId="164" fontId="5" fillId="8" borderId="0" xfId="0" applyFont="1" applyFill="1" applyBorder="1"/>
    <xf numFmtId="164" fontId="55" fillId="5" borderId="17" xfId="0" applyFont="1" applyFill="1" applyBorder="1"/>
    <xf numFmtId="164" fontId="58" fillId="8" borderId="0" xfId="0" applyFont="1" applyFill="1"/>
    <xf numFmtId="164" fontId="3" fillId="10" borderId="0" xfId="0" applyFont="1" applyFill="1"/>
    <xf numFmtId="169" fontId="3" fillId="8" borderId="0" xfId="0" applyNumberFormat="1" applyFont="1" applyFill="1" applyBorder="1" applyProtection="1"/>
    <xf numFmtId="169" fontId="3" fillId="8" borderId="0" xfId="1" applyNumberFormat="1" applyFont="1" applyFill="1" applyBorder="1" applyProtection="1"/>
    <xf numFmtId="9" fontId="4" fillId="8" borderId="0" xfId="3" applyFont="1" applyFill="1" applyBorder="1" applyProtection="1"/>
    <xf numFmtId="164" fontId="3" fillId="8" borderId="0" xfId="0" applyFont="1" applyFill="1" applyBorder="1" applyAlignment="1">
      <alignment horizontal="left"/>
    </xf>
    <xf numFmtId="9" fontId="47" fillId="9" borderId="0" xfId="3" applyFont="1" applyFill="1" applyBorder="1"/>
    <xf numFmtId="172" fontId="3" fillId="8" borderId="0" xfId="1" applyNumberFormat="1" applyFont="1" applyFill="1" applyBorder="1" applyProtection="1"/>
    <xf numFmtId="43" fontId="3" fillId="8" borderId="0" xfId="1" applyFont="1" applyFill="1" applyBorder="1" applyAlignment="1" applyProtection="1">
      <alignment horizontal="left"/>
    </xf>
    <xf numFmtId="171" fontId="3" fillId="8" borderId="0" xfId="1" applyNumberFormat="1" applyFont="1" applyFill="1" applyBorder="1" applyProtection="1"/>
    <xf numFmtId="171" fontId="3" fillId="8" borderId="0" xfId="1" applyNumberFormat="1" applyFont="1" applyFill="1" applyBorder="1" applyAlignment="1" applyProtection="1">
      <alignment horizontal="left"/>
    </xf>
    <xf numFmtId="0" fontId="3" fillId="8" borderId="0" xfId="1" applyNumberFormat="1" applyFont="1" applyFill="1" applyBorder="1" applyAlignment="1" applyProtection="1">
      <alignment horizontal="left"/>
    </xf>
    <xf numFmtId="0" fontId="3" fillId="8" borderId="0" xfId="0" applyNumberFormat="1" applyFont="1" applyFill="1" applyBorder="1" applyAlignment="1" applyProtection="1">
      <alignment horizontal="left"/>
    </xf>
    <xf numFmtId="164" fontId="3" fillId="8" borderId="0" xfId="0" applyFont="1" applyFill="1" applyBorder="1" applyProtection="1"/>
    <xf numFmtId="171" fontId="3" fillId="8" borderId="0" xfId="0" applyNumberFormat="1" applyFont="1" applyFill="1" applyBorder="1" applyProtection="1"/>
    <xf numFmtId="164" fontId="3" fillId="8" borderId="19" xfId="0" applyFont="1" applyFill="1" applyBorder="1" applyProtection="1"/>
    <xf numFmtId="164" fontId="0" fillId="8" borderId="0" xfId="0" applyFill="1" applyProtection="1"/>
    <xf numFmtId="3" fontId="3" fillId="8" borderId="4" xfId="0" applyNumberFormat="1" applyFont="1" applyFill="1" applyBorder="1" applyProtection="1"/>
    <xf numFmtId="1" fontId="20" fillId="8" borderId="0" xfId="0" applyNumberFormat="1" applyFont="1" applyFill="1" applyBorder="1" applyProtection="1"/>
    <xf numFmtId="164" fontId="28" fillId="8" borderId="19" xfId="0" applyFont="1" applyFill="1" applyBorder="1" applyProtection="1"/>
    <xf numFmtId="1" fontId="20" fillId="8" borderId="17" xfId="0" applyNumberFormat="1" applyFont="1" applyFill="1" applyBorder="1" applyProtection="1"/>
    <xf numFmtId="171" fontId="22" fillId="8" borderId="42" xfId="1" applyNumberFormat="1" applyFont="1" applyFill="1" applyBorder="1" applyProtection="1"/>
    <xf numFmtId="171" fontId="22" fillId="8" borderId="43" xfId="1" applyNumberFormat="1" applyFont="1" applyFill="1" applyBorder="1" applyProtection="1"/>
    <xf numFmtId="171" fontId="22" fillId="8" borderId="0" xfId="1" applyNumberFormat="1" applyFont="1" applyFill="1" applyBorder="1" applyProtection="1"/>
    <xf numFmtId="164" fontId="22" fillId="8" borderId="44" xfId="0" applyFont="1" applyFill="1" applyBorder="1" applyProtection="1"/>
    <xf numFmtId="164" fontId="22" fillId="8" borderId="0" xfId="0" applyFont="1" applyFill="1" applyBorder="1" applyProtection="1"/>
    <xf numFmtId="164" fontId="4" fillId="8" borderId="0" xfId="0" applyFont="1" applyFill="1" applyBorder="1" applyProtection="1"/>
    <xf numFmtId="164" fontId="4" fillId="8" borderId="17" xfId="0" applyFont="1" applyFill="1" applyBorder="1" applyProtection="1"/>
    <xf numFmtId="164" fontId="4" fillId="8" borderId="42" xfId="0" applyFont="1" applyFill="1" applyBorder="1" applyProtection="1"/>
    <xf numFmtId="164" fontId="4" fillId="8" borderId="43" xfId="0" applyFont="1" applyFill="1" applyBorder="1" applyProtection="1"/>
    <xf numFmtId="164" fontId="4" fillId="8" borderId="31" xfId="0" applyFont="1" applyFill="1" applyBorder="1" applyProtection="1"/>
    <xf numFmtId="171" fontId="22" fillId="8" borderId="45" xfId="1" applyNumberFormat="1" applyFont="1" applyFill="1" applyBorder="1" applyProtection="1"/>
    <xf numFmtId="171" fontId="22" fillId="8" borderId="46" xfId="1" applyNumberFormat="1" applyFont="1" applyFill="1" applyBorder="1" applyProtection="1"/>
    <xf numFmtId="164" fontId="0" fillId="0" borderId="0" xfId="0" applyProtection="1"/>
    <xf numFmtId="171" fontId="3" fillId="8" borderId="0" xfId="1" applyNumberFormat="1" applyFont="1" applyFill="1" applyProtection="1"/>
    <xf numFmtId="164" fontId="0" fillId="5" borderId="0" xfId="0" applyFill="1" applyProtection="1"/>
    <xf numFmtId="164" fontId="0" fillId="8" borderId="0" xfId="0" applyFill="1" applyProtection="1"/>
    <xf numFmtId="164" fontId="15" fillId="0" borderId="0" xfId="0" applyFont="1" applyProtection="1"/>
    <xf numFmtId="164" fontId="0" fillId="0" borderId="0" xfId="0" applyBorder="1" applyProtection="1"/>
    <xf numFmtId="164" fontId="3" fillId="8" borderId="0" xfId="0" applyFont="1" applyFill="1" applyProtection="1"/>
    <xf numFmtId="164" fontId="2" fillId="8" borderId="0" xfId="0" applyFont="1" applyFill="1"/>
    <xf numFmtId="164" fontId="59" fillId="8" borderId="37" xfId="0" applyFont="1" applyFill="1" applyBorder="1"/>
    <xf numFmtId="164" fontId="1" fillId="8" borderId="37" xfId="0" applyFont="1" applyFill="1" applyBorder="1" applyAlignment="1">
      <alignment horizontal="right"/>
    </xf>
    <xf numFmtId="1" fontId="2" fillId="8" borderId="37" xfId="2" applyNumberFormat="1" applyFont="1" applyFill="1" applyBorder="1"/>
    <xf numFmtId="1" fontId="2" fillId="8" borderId="47" xfId="2" applyNumberFormat="1" applyFont="1" applyFill="1" applyBorder="1"/>
    <xf numFmtId="1" fontId="2" fillId="8" borderId="32" xfId="2" applyNumberFormat="1" applyFont="1" applyFill="1" applyBorder="1"/>
    <xf numFmtId="2" fontId="50" fillId="8" borderId="0" xfId="2" applyNumberFormat="1" applyFont="1" applyFill="1" applyAlignment="1">
      <alignment horizontal="left"/>
    </xf>
    <xf numFmtId="173" fontId="0" fillId="8" borderId="0" xfId="0" applyNumberFormat="1" applyFill="1"/>
    <xf numFmtId="9" fontId="50" fillId="8" borderId="0" xfId="3" applyFont="1" applyFill="1"/>
    <xf numFmtId="44" fontId="50" fillId="8" borderId="0" xfId="2" applyFont="1" applyFill="1"/>
    <xf numFmtId="171" fontId="60" fillId="9" borderId="0" xfId="1" applyNumberFormat="1" applyFont="1" applyFill="1"/>
    <xf numFmtId="164" fontId="3" fillId="5" borderId="16" xfId="0" applyFont="1" applyFill="1" applyBorder="1"/>
    <xf numFmtId="164" fontId="57" fillId="5" borderId="16" xfId="0" applyFont="1" applyFill="1" applyBorder="1"/>
    <xf numFmtId="164" fontId="55" fillId="5" borderId="16" xfId="0" applyFont="1" applyFill="1" applyBorder="1"/>
    <xf numFmtId="171" fontId="3" fillId="5" borderId="16" xfId="1" applyNumberFormat="1" applyFont="1" applyFill="1" applyBorder="1"/>
    <xf numFmtId="164" fontId="61" fillId="8" borderId="48" xfId="0" applyFont="1" applyFill="1" applyBorder="1" applyAlignment="1">
      <alignment horizontal="right"/>
    </xf>
    <xf numFmtId="1" fontId="62" fillId="8" borderId="49" xfId="2" applyNumberFormat="1" applyFont="1" applyFill="1" applyBorder="1" applyAlignment="1">
      <alignment horizontal="center"/>
    </xf>
    <xf numFmtId="164" fontId="61" fillId="8" borderId="20" xfId="0" applyFont="1" applyFill="1" applyBorder="1" applyAlignment="1">
      <alignment horizontal="right"/>
    </xf>
    <xf numFmtId="9" fontId="62" fillId="8" borderId="27" xfId="3" applyFont="1" applyFill="1" applyBorder="1" applyAlignment="1">
      <alignment horizontal="center"/>
    </xf>
    <xf numFmtId="164" fontId="63" fillId="8" borderId="37" xfId="0" applyFont="1" applyFill="1" applyBorder="1"/>
    <xf numFmtId="9" fontId="63" fillId="8" borderId="37" xfId="3" applyFont="1" applyFill="1" applyBorder="1" applyAlignment="1">
      <alignment horizontal="center"/>
    </xf>
    <xf numFmtId="9" fontId="55" fillId="10" borderId="0" xfId="3" applyFont="1" applyFill="1" applyProtection="1">
      <protection locked="0"/>
    </xf>
    <xf numFmtId="164" fontId="55" fillId="10" borderId="0" xfId="0" applyFont="1" applyFill="1" applyProtection="1">
      <protection locked="0"/>
    </xf>
    <xf numFmtId="164" fontId="55" fillId="10" borderId="17" xfId="0" applyFont="1" applyFill="1" applyBorder="1" applyProtection="1">
      <protection locked="0"/>
    </xf>
    <xf numFmtId="164" fontId="2" fillId="9" borderId="0" xfId="0" applyFont="1" applyFill="1"/>
    <xf numFmtId="171" fontId="2" fillId="8" borderId="0" xfId="1" applyNumberFormat="1" applyFont="1" applyFill="1" applyProtection="1"/>
    <xf numFmtId="164" fontId="64" fillId="9" borderId="0" xfId="0" applyFont="1" applyFill="1"/>
    <xf numFmtId="166" fontId="64" fillId="9" borderId="0" xfId="3" applyNumberFormat="1" applyFont="1" applyFill="1"/>
    <xf numFmtId="171" fontId="5" fillId="9" borderId="0" xfId="1" applyNumberFormat="1" applyFont="1" applyFill="1" applyBorder="1"/>
    <xf numFmtId="43" fontId="3" fillId="9" borderId="0" xfId="1" applyFont="1" applyFill="1"/>
    <xf numFmtId="170" fontId="3" fillId="9" borderId="0" xfId="1" applyNumberFormat="1" applyFont="1" applyFill="1"/>
    <xf numFmtId="43" fontId="3" fillId="9" borderId="17" xfId="1" applyFont="1" applyFill="1" applyBorder="1"/>
    <xf numFmtId="164" fontId="3" fillId="8" borderId="51" xfId="0" applyFont="1" applyFill="1" applyBorder="1" applyAlignment="1" applyProtection="1">
      <alignment horizontal="left"/>
    </xf>
    <xf numFmtId="172" fontId="5" fillId="9" borderId="0" xfId="1" applyNumberFormat="1" applyFont="1" applyFill="1" applyBorder="1"/>
    <xf numFmtId="164" fontId="3" fillId="11" borderId="0" xfId="0" applyFont="1" applyFill="1"/>
    <xf numFmtId="164" fontId="47" fillId="11" borderId="0" xfId="0" applyFont="1" applyFill="1" applyBorder="1" applyAlignment="1" applyProtection="1">
      <alignment horizontal="left"/>
    </xf>
    <xf numFmtId="164" fontId="57" fillId="11" borderId="0" xfId="0" applyFont="1" applyFill="1" applyBorder="1"/>
    <xf numFmtId="164" fontId="3" fillId="11" borderId="17" xfId="0" applyFont="1" applyFill="1" applyBorder="1"/>
    <xf numFmtId="164" fontId="47" fillId="9" borderId="17" xfId="0" applyFont="1" applyFill="1" applyBorder="1" applyAlignment="1" applyProtection="1">
      <alignment horizontal="left"/>
    </xf>
    <xf numFmtId="164" fontId="57" fillId="9" borderId="17" xfId="0" applyFont="1" applyFill="1" applyBorder="1"/>
    <xf numFmtId="167" fontId="3" fillId="11" borderId="0" xfId="0" applyNumberFormat="1" applyFont="1" applyFill="1"/>
    <xf numFmtId="167" fontId="3" fillId="11" borderId="17" xfId="0" applyNumberFormat="1" applyFont="1" applyFill="1" applyBorder="1"/>
    <xf numFmtId="166" fontId="3" fillId="11" borderId="0" xfId="3" applyNumberFormat="1" applyFont="1" applyFill="1"/>
    <xf numFmtId="164" fontId="3" fillId="11" borderId="0" xfId="0" applyFont="1" applyFill="1" applyBorder="1"/>
    <xf numFmtId="164" fontId="5" fillId="11" borderId="0" xfId="0" applyFont="1" applyFill="1" applyBorder="1"/>
    <xf numFmtId="170" fontId="3" fillId="9" borderId="0" xfId="1" applyNumberFormat="1" applyFont="1" applyFill="1" applyBorder="1"/>
    <xf numFmtId="43" fontId="65" fillId="9" borderId="0" xfId="1" applyNumberFormat="1" applyFont="1" applyFill="1"/>
    <xf numFmtId="43" fontId="5" fillId="9" borderId="0" xfId="1" applyFont="1" applyFill="1" applyBorder="1"/>
    <xf numFmtId="10" fontId="3" fillId="8" borderId="0" xfId="3" applyNumberFormat="1" applyFont="1" applyFill="1" applyBorder="1" applyProtection="1"/>
    <xf numFmtId="171" fontId="47" fillId="12" borderId="0" xfId="1" applyNumberFormat="1" applyFont="1" applyFill="1" applyBorder="1" applyProtection="1">
      <protection locked="0"/>
    </xf>
    <xf numFmtId="171" fontId="47" fillId="12" borderId="0" xfId="1" applyNumberFormat="1" applyFont="1" applyFill="1" applyBorder="1" applyProtection="1"/>
    <xf numFmtId="164" fontId="47" fillId="12" borderId="32" xfId="0" applyNumberFormat="1" applyFont="1" applyFill="1" applyBorder="1" applyProtection="1"/>
    <xf numFmtId="164" fontId="66" fillId="9" borderId="0" xfId="0" applyFont="1" applyFill="1" applyProtection="1">
      <protection locked="0"/>
    </xf>
    <xf numFmtId="164" fontId="67" fillId="9" borderId="0" xfId="0" applyFont="1" applyFill="1"/>
    <xf numFmtId="164" fontId="66" fillId="9" borderId="17" xfId="0" applyFont="1" applyFill="1" applyBorder="1" applyProtection="1">
      <protection locked="0"/>
    </xf>
    <xf numFmtId="164" fontId="56" fillId="8" borderId="0" xfId="0" applyFont="1" applyFill="1" applyBorder="1" applyAlignment="1">
      <alignment horizontal="center"/>
    </xf>
    <xf numFmtId="164" fontId="56" fillId="8" borderId="0" xfId="0" applyFont="1" applyFill="1" applyAlignment="1">
      <alignment horizontal="center"/>
    </xf>
    <xf numFmtId="164" fontId="48" fillId="8" borderId="0" xfId="0" applyFont="1" applyFill="1" applyAlignment="1">
      <alignment horizontal="center"/>
    </xf>
    <xf numFmtId="164" fontId="48" fillId="8" borderId="13" xfId="0" applyFont="1" applyFill="1" applyBorder="1" applyAlignment="1">
      <alignment horizontal="center"/>
    </xf>
    <xf numFmtId="164" fontId="9" fillId="6" borderId="15" xfId="0" applyFont="1" applyFill="1" applyBorder="1" applyAlignment="1">
      <alignment horizontal="left"/>
    </xf>
    <xf numFmtId="164" fontId="12" fillId="6" borderId="16" xfId="0" applyFont="1" applyFill="1" applyBorder="1" applyAlignment="1">
      <alignment horizontal="left"/>
    </xf>
    <xf numFmtId="164" fontId="12" fillId="6" borderId="50" xfId="0" applyFont="1" applyFill="1" applyBorder="1" applyAlignment="1">
      <alignment horizontal="lef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colors>
    <mruColors>
      <color rgb="FF33CC33"/>
      <color rgb="FF00FF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5"/>
  <sheetViews>
    <sheetView windowProtection="1" tabSelected="1" topLeftCell="A13" workbookViewId="0">
      <selection activeCell="B20" sqref="B20"/>
    </sheetView>
  </sheetViews>
  <sheetFormatPr defaultRowHeight="12" x14ac:dyDescent="0.2"/>
  <cols>
    <col min="1" max="1" width="24.25" style="394" customWidth="1"/>
    <col min="2" max="2" width="8.75" style="394" customWidth="1"/>
    <col min="3" max="3" width="1.375" style="394" customWidth="1"/>
    <col min="4" max="4" width="26.625" style="394" customWidth="1"/>
    <col min="5" max="5" width="2.75" style="404" customWidth="1"/>
    <col min="6" max="10" width="9" style="394"/>
    <col min="11" max="11" width="2.5" style="394" customWidth="1"/>
    <col min="12" max="16384" width="9" style="394"/>
  </cols>
  <sheetData>
    <row r="1" spans="1:17" ht="18" x14ac:dyDescent="0.25">
      <c r="A1" s="435" t="s">
        <v>309</v>
      </c>
      <c r="B1" s="405"/>
      <c r="C1" s="400"/>
      <c r="D1" s="395"/>
      <c r="E1" s="402"/>
      <c r="G1" s="405" t="s">
        <v>335</v>
      </c>
      <c r="H1" s="399" t="str">
        <f>Assumptions!B3</f>
        <v>simulation water company</v>
      </c>
    </row>
    <row r="2" spans="1:17" ht="14.25" x14ac:dyDescent="0.2">
      <c r="A2" s="395"/>
      <c r="B2" s="395"/>
      <c r="C2" s="395"/>
      <c r="D2" s="395"/>
      <c r="E2" s="402"/>
      <c r="G2" s="396"/>
      <c r="H2" s="396"/>
    </row>
    <row r="3" spans="1:17" ht="18" x14ac:dyDescent="0.25">
      <c r="A3" s="530" t="s">
        <v>310</v>
      </c>
      <c r="B3" s="530"/>
      <c r="C3" s="401"/>
      <c r="D3" s="403" t="s">
        <v>312</v>
      </c>
      <c r="E3" s="403"/>
      <c r="F3" s="530" t="s">
        <v>311</v>
      </c>
      <c r="G3" s="530"/>
      <c r="H3" s="530"/>
      <c r="I3" s="530"/>
      <c r="J3" s="530"/>
    </row>
    <row r="4" spans="1:17" x14ac:dyDescent="0.2">
      <c r="A4" s="397"/>
      <c r="B4" s="397"/>
      <c r="C4" s="397"/>
      <c r="D4" s="397"/>
      <c r="E4" s="397"/>
      <c r="F4" s="432">
        <f>'Connections &amp; Opex'!B3</f>
        <v>2018</v>
      </c>
      <c r="G4" s="432">
        <f>'Connections &amp; Opex'!C3</f>
        <v>2019</v>
      </c>
      <c r="H4" s="432">
        <f>'Connections &amp; Opex'!D3</f>
        <v>2020</v>
      </c>
      <c r="I4" s="432">
        <f>'Connections &amp; Opex'!E3</f>
        <v>2021</v>
      </c>
      <c r="J4" s="432">
        <f>'Connections &amp; Opex'!F3</f>
        <v>2022</v>
      </c>
      <c r="K4" s="397"/>
      <c r="L4" s="414" t="s">
        <v>12</v>
      </c>
    </row>
    <row r="5" spans="1:17" ht="14.25" x14ac:dyDescent="0.2">
      <c r="A5" s="499" t="s">
        <v>340</v>
      </c>
      <c r="B5" s="423"/>
      <c r="C5" s="423"/>
      <c r="D5" s="499" t="s">
        <v>342</v>
      </c>
      <c r="E5" s="424"/>
      <c r="F5" s="436"/>
      <c r="G5" s="436"/>
      <c r="H5" s="436"/>
      <c r="I5" s="436"/>
      <c r="J5" s="436"/>
      <c r="K5" s="419"/>
      <c r="L5" s="418"/>
      <c r="Q5" s="404"/>
    </row>
    <row r="6" spans="1:17" x14ac:dyDescent="0.2">
      <c r="A6" s="418" t="s">
        <v>313</v>
      </c>
      <c r="B6" s="418"/>
      <c r="C6" s="418"/>
      <c r="D6" s="418" t="s">
        <v>331</v>
      </c>
      <c r="E6" s="419"/>
      <c r="F6" s="496"/>
      <c r="G6" s="496"/>
      <c r="H6" s="496"/>
      <c r="I6" s="496"/>
      <c r="J6" s="496"/>
      <c r="K6" s="418"/>
      <c r="L6" s="425">
        <f t="shared" ref="L6:L11" si="0">SUM(F6:K6)</f>
        <v>0</v>
      </c>
    </row>
    <row r="7" spans="1:17" x14ac:dyDescent="0.2">
      <c r="A7" s="418" t="s">
        <v>314</v>
      </c>
      <c r="B7" s="418"/>
      <c r="C7" s="418"/>
      <c r="D7" s="418" t="s">
        <v>332</v>
      </c>
      <c r="E7" s="426"/>
      <c r="F7" s="497"/>
      <c r="G7" s="497"/>
      <c r="H7" s="497"/>
      <c r="I7" s="497"/>
      <c r="J7" s="497"/>
      <c r="K7" s="418"/>
      <c r="L7" s="420">
        <f t="shared" si="0"/>
        <v>0</v>
      </c>
    </row>
    <row r="8" spans="1:17" ht="13.5" x14ac:dyDescent="0.2">
      <c r="A8" s="418" t="s">
        <v>336</v>
      </c>
      <c r="B8" s="418"/>
      <c r="C8" s="418"/>
      <c r="D8" s="418" t="s">
        <v>333</v>
      </c>
      <c r="E8" s="419"/>
      <c r="F8" s="497"/>
      <c r="G8" s="497"/>
      <c r="H8" s="497"/>
      <c r="I8" s="497"/>
      <c r="J8" s="497"/>
      <c r="K8" s="418"/>
      <c r="L8" s="420">
        <f t="shared" si="0"/>
        <v>0</v>
      </c>
    </row>
    <row r="9" spans="1:17" x14ac:dyDescent="0.2">
      <c r="A9" s="418" t="s">
        <v>317</v>
      </c>
      <c r="B9" s="418"/>
      <c r="C9" s="418"/>
      <c r="D9" s="418" t="s">
        <v>356</v>
      </c>
      <c r="E9" s="419"/>
      <c r="F9" s="497"/>
      <c r="G9" s="497"/>
      <c r="H9" s="497"/>
      <c r="I9" s="497"/>
      <c r="J9" s="497"/>
      <c r="K9" s="418"/>
      <c r="L9" s="420">
        <f t="shared" si="0"/>
        <v>0</v>
      </c>
    </row>
    <row r="10" spans="1:17" x14ac:dyDescent="0.2">
      <c r="A10" s="418" t="s">
        <v>318</v>
      </c>
      <c r="B10" s="418"/>
      <c r="C10" s="418"/>
      <c r="D10" s="418" t="s">
        <v>320</v>
      </c>
      <c r="E10" s="419"/>
      <c r="F10" s="496"/>
      <c r="G10" s="496"/>
      <c r="H10" s="496"/>
      <c r="I10" s="496"/>
      <c r="J10" s="496"/>
      <c r="K10" s="418"/>
      <c r="L10" s="425">
        <f t="shared" si="0"/>
        <v>0</v>
      </c>
    </row>
    <row r="11" spans="1:17" x14ac:dyDescent="0.2">
      <c r="A11" s="421" t="s">
        <v>308</v>
      </c>
      <c r="B11" s="421"/>
      <c r="C11" s="421"/>
      <c r="D11" s="421" t="s">
        <v>334</v>
      </c>
      <c r="E11" s="421"/>
      <c r="F11" s="498"/>
      <c r="G11" s="498"/>
      <c r="H11" s="498"/>
      <c r="I11" s="498"/>
      <c r="J11" s="498"/>
      <c r="K11" s="421"/>
      <c r="L11" s="422">
        <f t="shared" si="0"/>
        <v>0</v>
      </c>
    </row>
    <row r="12" spans="1:17" x14ac:dyDescent="0.2">
      <c r="A12" s="486"/>
      <c r="B12" s="486"/>
      <c r="C12" s="486"/>
      <c r="D12" s="487" t="s">
        <v>330</v>
      </c>
      <c r="E12" s="486"/>
      <c r="F12" s="488">
        <f>'Connections &amp; Opex'!B25</f>
        <v>30533.018867924693</v>
      </c>
      <c r="G12" s="488">
        <f>'Connections &amp; Opex'!C25</f>
        <v>30533.018867924693</v>
      </c>
      <c r="H12" s="488">
        <f>'Connections &amp; Opex'!D25</f>
        <v>30533.018867924693</v>
      </c>
      <c r="I12" s="488">
        <f>'Connections &amp; Opex'!E25</f>
        <v>30533.018867924693</v>
      </c>
      <c r="J12" s="488">
        <f>'Connections &amp; Opex'!F25</f>
        <v>30533.018867924693</v>
      </c>
      <c r="K12" s="486"/>
      <c r="L12" s="489"/>
    </row>
    <row r="13" spans="1:17" x14ac:dyDescent="0.2">
      <c r="F13" s="396"/>
      <c r="G13" s="396"/>
      <c r="H13" s="396"/>
      <c r="I13" s="396"/>
      <c r="J13" s="396"/>
    </row>
    <row r="14" spans="1:17" ht="18" x14ac:dyDescent="0.25">
      <c r="A14" s="531" t="s">
        <v>328</v>
      </c>
      <c r="B14" s="531"/>
      <c r="D14" s="530" t="s">
        <v>316</v>
      </c>
      <c r="E14" s="530"/>
      <c r="F14" s="530"/>
      <c r="G14" s="530"/>
      <c r="H14" s="530"/>
      <c r="I14" s="530"/>
      <c r="J14" s="530"/>
      <c r="K14" s="530"/>
      <c r="L14" s="530"/>
    </row>
    <row r="15" spans="1:17" x14ac:dyDescent="0.2">
      <c r="A15" s="404"/>
      <c r="B15" s="404"/>
      <c r="C15" s="404"/>
      <c r="D15" s="404"/>
      <c r="F15" s="433">
        <f>F4</f>
        <v>2018</v>
      </c>
      <c r="G15" s="433">
        <f>G4</f>
        <v>2019</v>
      </c>
      <c r="H15" s="433">
        <f>H4</f>
        <v>2020</v>
      </c>
      <c r="I15" s="433">
        <f>I4</f>
        <v>2021</v>
      </c>
      <c r="J15" s="433">
        <f>J4</f>
        <v>2022</v>
      </c>
      <c r="K15" s="404"/>
      <c r="L15" s="415" t="s">
        <v>12</v>
      </c>
    </row>
    <row r="16" spans="1:17" x14ac:dyDescent="0.2">
      <c r="A16" s="397"/>
      <c r="B16" s="397"/>
      <c r="C16" s="397"/>
      <c r="D16" s="397"/>
      <c r="E16" s="397"/>
      <c r="F16" s="397"/>
      <c r="G16" s="397"/>
      <c r="H16" s="397"/>
      <c r="I16" s="397"/>
      <c r="J16" s="397"/>
      <c r="K16" s="397"/>
      <c r="L16" s="397"/>
    </row>
    <row r="17" spans="1:12" x14ac:dyDescent="0.2">
      <c r="A17" s="418"/>
      <c r="B17" s="418"/>
      <c r="C17" s="418"/>
      <c r="D17" s="418" t="s">
        <v>341</v>
      </c>
      <c r="E17" s="419"/>
      <c r="F17" s="420">
        <f>+F5</f>
        <v>0</v>
      </c>
      <c r="G17" s="420">
        <f t="shared" ref="G17:J17" si="1">+G5</f>
        <v>0</v>
      </c>
      <c r="H17" s="420">
        <f t="shared" si="1"/>
        <v>0</v>
      </c>
      <c r="I17" s="420">
        <f t="shared" si="1"/>
        <v>0</v>
      </c>
      <c r="J17" s="420">
        <f t="shared" si="1"/>
        <v>0</v>
      </c>
      <c r="K17" s="420"/>
      <c r="L17" s="420">
        <f t="shared" ref="L17:L23" si="2">SUM(F17:J17)</f>
        <v>0</v>
      </c>
    </row>
    <row r="18" spans="1:12" ht="15.75" x14ac:dyDescent="0.25">
      <c r="A18" s="418" t="s">
        <v>337</v>
      </c>
      <c r="B18" s="485">
        <f>NPV!B10</f>
        <v>9659.533963445987</v>
      </c>
      <c r="C18" s="418"/>
      <c r="D18" s="418" t="s">
        <v>313</v>
      </c>
      <c r="E18" s="419"/>
      <c r="F18" s="420">
        <f>+F6*500*100</f>
        <v>0</v>
      </c>
      <c r="G18" s="420">
        <f>+G6*500*100</f>
        <v>0</v>
      </c>
      <c r="H18" s="420">
        <f>+H6*500*100</f>
        <v>0</v>
      </c>
      <c r="I18" s="420">
        <f>+I6*500*100</f>
        <v>0</v>
      </c>
      <c r="J18" s="420">
        <f>+J6*500*100</f>
        <v>0</v>
      </c>
      <c r="K18" s="418"/>
      <c r="L18" s="504">
        <f t="shared" si="2"/>
        <v>0</v>
      </c>
    </row>
    <row r="19" spans="1:12" ht="15.75" x14ac:dyDescent="0.25">
      <c r="A19" s="418" t="s">
        <v>360</v>
      </c>
      <c r="B19" s="521">
        <v>0.9</v>
      </c>
      <c r="C19" s="418"/>
      <c r="D19" s="418" t="s">
        <v>314</v>
      </c>
      <c r="E19" s="419"/>
      <c r="F19" s="420">
        <f>+F7*2</f>
        <v>0</v>
      </c>
      <c r="G19" s="420">
        <f>+G7*2</f>
        <v>0</v>
      </c>
      <c r="H19" s="420">
        <f>+H7*2</f>
        <v>0</v>
      </c>
      <c r="I19" s="420">
        <f>+I7*2</f>
        <v>0</v>
      </c>
      <c r="J19" s="420">
        <f>+J7*2</f>
        <v>0</v>
      </c>
      <c r="K19" s="418"/>
      <c r="L19" s="420">
        <f t="shared" si="2"/>
        <v>0</v>
      </c>
    </row>
    <row r="20" spans="1:12" ht="15.75" x14ac:dyDescent="0.25">
      <c r="A20" s="418" t="s">
        <v>346</v>
      </c>
      <c r="B20" s="501">
        <v>7500</v>
      </c>
      <c r="C20" s="418"/>
      <c r="D20" s="418" t="s">
        <v>315</v>
      </c>
      <c r="E20" s="419"/>
      <c r="F20" s="420">
        <f>+F8*0.07</f>
        <v>0</v>
      </c>
      <c r="G20" s="420">
        <f>+G8*0.07</f>
        <v>0</v>
      </c>
      <c r="H20" s="420">
        <f>+H8*0.07</f>
        <v>0</v>
      </c>
      <c r="I20" s="420">
        <f>+I8*0.07</f>
        <v>0</v>
      </c>
      <c r="J20" s="420">
        <f>+J8*0.07</f>
        <v>0</v>
      </c>
      <c r="K20" s="418"/>
      <c r="L20" s="420">
        <f t="shared" si="2"/>
        <v>0</v>
      </c>
    </row>
    <row r="21" spans="1:12" ht="15.75" x14ac:dyDescent="0.25">
      <c r="A21" s="418" t="s">
        <v>343</v>
      </c>
      <c r="B21" s="502">
        <v>0.05</v>
      </c>
      <c r="C21" s="418"/>
      <c r="D21" s="418" t="s">
        <v>317</v>
      </c>
      <c r="E21" s="419"/>
      <c r="F21" s="420">
        <f>F9*5</f>
        <v>0</v>
      </c>
      <c r="G21" s="420">
        <f t="shared" ref="G21:J21" si="3">G9*5</f>
        <v>0</v>
      </c>
      <c r="H21" s="420">
        <f t="shared" si="3"/>
        <v>0</v>
      </c>
      <c r="I21" s="420">
        <f t="shared" si="3"/>
        <v>0</v>
      </c>
      <c r="J21" s="420">
        <f t="shared" si="3"/>
        <v>0</v>
      </c>
      <c r="K21" s="418"/>
      <c r="L21" s="420">
        <f t="shared" si="2"/>
        <v>0</v>
      </c>
    </row>
    <row r="22" spans="1:12" x14ac:dyDescent="0.2">
      <c r="A22" s="418"/>
      <c r="B22" s="418"/>
      <c r="C22" s="418"/>
      <c r="D22" s="418" t="s">
        <v>318</v>
      </c>
      <c r="E22" s="419"/>
      <c r="F22" s="505">
        <v>0</v>
      </c>
      <c r="G22" s="504">
        <v>0</v>
      </c>
      <c r="H22" s="504">
        <v>0</v>
      </c>
      <c r="I22" s="504">
        <v>0</v>
      </c>
      <c r="J22" s="504">
        <v>0</v>
      </c>
      <c r="K22" s="418"/>
      <c r="L22" s="504">
        <f t="shared" si="2"/>
        <v>0</v>
      </c>
    </row>
    <row r="23" spans="1:12" x14ac:dyDescent="0.2">
      <c r="A23" s="421"/>
      <c r="B23" s="421"/>
      <c r="C23" s="421"/>
      <c r="D23" s="421" t="s">
        <v>308</v>
      </c>
      <c r="E23" s="421"/>
      <c r="F23" s="422">
        <f>+F11*100</f>
        <v>0</v>
      </c>
      <c r="G23" s="422">
        <f>+G11*100</f>
        <v>0</v>
      </c>
      <c r="H23" s="422">
        <f>+H11*100</f>
        <v>0</v>
      </c>
      <c r="I23" s="422">
        <f>+I11*100</f>
        <v>0</v>
      </c>
      <c r="J23" s="422">
        <f>+J11*100</f>
        <v>0</v>
      </c>
      <c r="K23" s="421"/>
      <c r="L23" s="506">
        <f t="shared" si="2"/>
        <v>0</v>
      </c>
    </row>
    <row r="24" spans="1:12" x14ac:dyDescent="0.2">
      <c r="A24" s="418"/>
      <c r="B24" s="418"/>
      <c r="C24" s="418"/>
      <c r="D24" s="418" t="s">
        <v>326</v>
      </c>
      <c r="E24" s="419"/>
      <c r="F24" s="420">
        <f>SUM(F17:F23)</f>
        <v>0</v>
      </c>
      <c r="G24" s="420">
        <f>SUM(G18:G23)</f>
        <v>0</v>
      </c>
      <c r="H24" s="420">
        <f>SUM(H18:H23)</f>
        <v>0</v>
      </c>
      <c r="I24" s="420">
        <f>SUM(I18:I23)</f>
        <v>0</v>
      </c>
      <c r="J24" s="420">
        <f>SUM(J18:J23)</f>
        <v>0</v>
      </c>
      <c r="K24" s="420"/>
      <c r="L24" s="420">
        <f>SUM(L17:L23)</f>
        <v>0</v>
      </c>
    </row>
    <row r="26" spans="1:12" ht="18" x14ac:dyDescent="0.25">
      <c r="A26" s="531" t="s">
        <v>327</v>
      </c>
      <c r="B26" s="531"/>
      <c r="D26" s="531" t="s">
        <v>321</v>
      </c>
      <c r="E26" s="531"/>
      <c r="F26" s="531"/>
      <c r="G26" s="531"/>
      <c r="H26" s="531"/>
      <c r="I26" s="531"/>
      <c r="J26" s="531"/>
      <c r="K26" s="531"/>
      <c r="L26" s="531"/>
    </row>
    <row r="27" spans="1:12" x14ac:dyDescent="0.2">
      <c r="F27" s="398">
        <f>F15</f>
        <v>2018</v>
      </c>
      <c r="G27" s="398">
        <f>G15</f>
        <v>2019</v>
      </c>
      <c r="H27" s="398">
        <f>H15</f>
        <v>2020</v>
      </c>
      <c r="I27" s="398">
        <f>I15</f>
        <v>2021</v>
      </c>
      <c r="J27" s="398">
        <f>J15</f>
        <v>2022</v>
      </c>
      <c r="L27" s="415" t="s">
        <v>12</v>
      </c>
    </row>
    <row r="28" spans="1:12" x14ac:dyDescent="0.2">
      <c r="A28" s="397"/>
      <c r="B28" s="397"/>
      <c r="C28" s="397"/>
      <c r="D28" s="397"/>
      <c r="E28" s="397"/>
      <c r="F28" s="397"/>
      <c r="G28" s="397"/>
      <c r="H28" s="397"/>
      <c r="I28" s="397"/>
      <c r="J28" s="397"/>
      <c r="K28" s="397"/>
      <c r="L28" s="397"/>
    </row>
    <row r="29" spans="1:12" x14ac:dyDescent="0.2">
      <c r="A29" s="418"/>
      <c r="B29" s="418"/>
      <c r="C29" s="418"/>
      <c r="D29" s="418" t="s">
        <v>324</v>
      </c>
      <c r="E29" s="419"/>
      <c r="F29" s="418">
        <f>'Output Statements'!B106-'Output Statements'!B112</f>
        <v>-368.82296242138352</v>
      </c>
      <c r="G29" s="418">
        <f>'Output Statements'!C106-'Output Statements'!C112</f>
        <v>-71.982848034591512</v>
      </c>
      <c r="H29" s="418">
        <f>'Output Statements'!D106-'Output Statements'!D112</f>
        <v>-88.299223034591137</v>
      </c>
      <c r="I29" s="418">
        <f>'Output Statements'!E106-'Output Statements'!E112</f>
        <v>-18.191948034591235</v>
      </c>
      <c r="J29" s="418">
        <f>'Output Statements'!F106-'Output Statements'!F112</f>
        <v>582.63059696540836</v>
      </c>
      <c r="K29" s="418"/>
      <c r="L29" s="418">
        <f>SUM(F29:K29)</f>
        <v>35.333615440250924</v>
      </c>
    </row>
    <row r="30" spans="1:12" x14ac:dyDescent="0.2">
      <c r="A30" s="418"/>
      <c r="B30" s="418"/>
      <c r="C30" s="418"/>
      <c r="D30" s="428" t="s">
        <v>10</v>
      </c>
      <c r="E30" s="429"/>
      <c r="F30" s="497"/>
      <c r="G30" s="497"/>
      <c r="H30" s="497"/>
      <c r="I30" s="497"/>
      <c r="J30" s="497"/>
      <c r="K30" s="418"/>
      <c r="L30" s="418">
        <f>SUM(F30:K30)</f>
        <v>0</v>
      </c>
    </row>
    <row r="31" spans="1:12" x14ac:dyDescent="0.2">
      <c r="A31" s="418" t="str">
        <f>'Projects &amp; Financing'!B43</f>
        <v>Loan1</v>
      </c>
      <c r="B31" s="527">
        <v>2018</v>
      </c>
      <c r="C31" s="418"/>
      <c r="D31" s="428" t="s">
        <v>322</v>
      </c>
      <c r="E31" s="429"/>
      <c r="F31" s="497"/>
      <c r="G31" s="497"/>
      <c r="H31" s="497"/>
      <c r="I31" s="497"/>
      <c r="J31" s="497"/>
      <c r="K31" s="418"/>
      <c r="L31" s="418">
        <f>SUM(F31:K31)</f>
        <v>0</v>
      </c>
    </row>
    <row r="32" spans="1:12" x14ac:dyDescent="0.2">
      <c r="A32" s="421" t="str">
        <f>'Projects &amp; Financing'!C43</f>
        <v>Loan2</v>
      </c>
      <c r="B32" s="529">
        <v>2019</v>
      </c>
      <c r="C32" s="421"/>
      <c r="D32" s="430" t="s">
        <v>323</v>
      </c>
      <c r="E32" s="431"/>
      <c r="F32" s="498"/>
      <c r="G32" s="498"/>
      <c r="H32" s="498"/>
      <c r="I32" s="498"/>
      <c r="J32" s="498"/>
      <c r="K32" s="421"/>
      <c r="L32" s="421">
        <f>SUM(F32:K32)</f>
        <v>0</v>
      </c>
    </row>
    <row r="33" spans="1:13" x14ac:dyDescent="0.2">
      <c r="A33" s="418"/>
      <c r="B33" s="528"/>
      <c r="C33" s="418"/>
      <c r="D33" s="427" t="s">
        <v>325</v>
      </c>
      <c r="E33" s="419"/>
      <c r="F33" s="427">
        <f>SUM(F29:F32)</f>
        <v>-368.82296242138352</v>
      </c>
      <c r="G33" s="427">
        <f>SUM(G29:G32)</f>
        <v>-71.982848034591512</v>
      </c>
      <c r="H33" s="427">
        <f>SUM(H29:H32)</f>
        <v>-88.299223034591137</v>
      </c>
      <c r="I33" s="427">
        <f>SUM(I29:I32)</f>
        <v>-18.191948034591235</v>
      </c>
      <c r="J33" s="427">
        <f>SUM(J29:J32)</f>
        <v>582.63059696540836</v>
      </c>
      <c r="K33" s="418"/>
      <c r="L33" s="418">
        <f>SUM(L29:L32)</f>
        <v>35.333615440250924</v>
      </c>
    </row>
    <row r="34" spans="1:13" x14ac:dyDescent="0.2">
      <c r="A34" s="421"/>
      <c r="B34" s="421"/>
      <c r="C34" s="421"/>
      <c r="D34" s="513" t="s">
        <v>348</v>
      </c>
      <c r="E34" s="514"/>
      <c r="F34" s="514">
        <f>F24-F33</f>
        <v>368.82296242138352</v>
      </c>
      <c r="G34" s="514">
        <f>G24-G33</f>
        <v>71.982848034591512</v>
      </c>
      <c r="H34" s="514">
        <f>H24-H33</f>
        <v>88.299223034591137</v>
      </c>
      <c r="I34" s="514">
        <f>I24-I33</f>
        <v>18.191948034591235</v>
      </c>
      <c r="J34" s="514">
        <f>J24-J33</f>
        <v>-582.63059696540836</v>
      </c>
      <c r="K34" s="421"/>
      <c r="L34" s="421">
        <f>SUM(F34:K34)</f>
        <v>-35.333615440250924</v>
      </c>
    </row>
    <row r="35" spans="1:13" s="509" customFormat="1" x14ac:dyDescent="0.2">
      <c r="A35" s="518"/>
      <c r="B35" s="518"/>
      <c r="C35" s="518"/>
      <c r="D35" s="510"/>
      <c r="E35" s="511"/>
      <c r="F35" s="511"/>
      <c r="G35" s="511"/>
      <c r="H35" s="511"/>
      <c r="I35" s="511"/>
      <c r="J35" s="511"/>
      <c r="K35" s="518"/>
      <c r="L35" s="518"/>
    </row>
    <row r="36" spans="1:13" x14ac:dyDescent="0.2">
      <c r="A36" s="518"/>
      <c r="B36" s="518"/>
      <c r="C36" s="518"/>
      <c r="D36" s="510"/>
      <c r="E36" s="511"/>
      <c r="F36" s="519">
        <f>F27</f>
        <v>2018</v>
      </c>
      <c r="G36" s="519">
        <f t="shared" ref="G36:J36" si="4">G27</f>
        <v>2019</v>
      </c>
      <c r="H36" s="519">
        <f t="shared" si="4"/>
        <v>2020</v>
      </c>
      <c r="I36" s="519">
        <f t="shared" si="4"/>
        <v>2021</v>
      </c>
      <c r="J36" s="519">
        <f t="shared" si="4"/>
        <v>2022</v>
      </c>
      <c r="K36" s="518"/>
      <c r="L36" s="518"/>
    </row>
    <row r="37" spans="1:13" x14ac:dyDescent="0.2">
      <c r="A37" s="509" t="s">
        <v>139</v>
      </c>
      <c r="B37" s="509"/>
      <c r="C37" s="509"/>
      <c r="D37" s="510"/>
      <c r="E37" s="511"/>
      <c r="F37" s="509">
        <f>'Output Statements'!B63</f>
        <v>2339.2621874999995</v>
      </c>
      <c r="G37" s="509">
        <f>'Output Statements'!C63</f>
        <v>2339.2621874999995</v>
      </c>
      <c r="H37" s="509">
        <f>'Output Statements'!D63</f>
        <v>2339.2621874999995</v>
      </c>
      <c r="I37" s="509">
        <f>'Output Statements'!E63</f>
        <v>2339.2621874999995</v>
      </c>
      <c r="J37" s="509">
        <f>'Output Statements'!F63</f>
        <v>2339.2621874999995</v>
      </c>
      <c r="K37" s="509"/>
      <c r="L37" s="509"/>
      <c r="M37" s="509"/>
    </row>
    <row r="38" spans="1:13" x14ac:dyDescent="0.2">
      <c r="A38" s="509" t="s">
        <v>351</v>
      </c>
      <c r="B38" s="509"/>
      <c r="C38" s="509"/>
      <c r="D38" s="510"/>
      <c r="E38" s="511"/>
      <c r="F38" s="509">
        <f>'Output Statements'!B75</f>
        <v>1241.5688985849054</v>
      </c>
      <c r="G38" s="509">
        <f>'Output Statements'!C75</f>
        <v>1270.8048360849054</v>
      </c>
      <c r="H38" s="509">
        <f>'Output Statements'!D75</f>
        <v>1255.4026485849054</v>
      </c>
      <c r="I38" s="509">
        <f>'Output Statements'!E75</f>
        <v>1248.9280860849053</v>
      </c>
      <c r="J38" s="509">
        <f>'Output Statements'!F75</f>
        <v>1240.6679985849055</v>
      </c>
      <c r="K38" s="509"/>
      <c r="L38" s="509"/>
      <c r="M38" s="509"/>
    </row>
    <row r="39" spans="1:13" x14ac:dyDescent="0.2">
      <c r="A39" s="509" t="s">
        <v>349</v>
      </c>
      <c r="B39" s="509"/>
      <c r="C39" s="509"/>
      <c r="D39" s="510"/>
      <c r="E39" s="511"/>
      <c r="F39" s="509">
        <f>'Output Statements'!B86</f>
        <v>383.35463113207533</v>
      </c>
      <c r="G39" s="509">
        <f>'Output Statements'!C86</f>
        <v>367.96588113207525</v>
      </c>
      <c r="H39" s="509">
        <f>'Output Statements'!D86</f>
        <v>396.28763113207532</v>
      </c>
      <c r="I39" s="509">
        <f>'Output Statements'!E86</f>
        <v>457.46728113207536</v>
      </c>
      <c r="J39" s="509">
        <f>'Output Statements'!F86</f>
        <v>560.07535113207518</v>
      </c>
      <c r="K39" s="509"/>
      <c r="L39" s="509"/>
      <c r="M39" s="509"/>
    </row>
    <row r="40" spans="1:13" x14ac:dyDescent="0.2">
      <c r="A40" s="509" t="s">
        <v>350</v>
      </c>
      <c r="B40" s="509"/>
      <c r="C40" s="509"/>
      <c r="D40" s="510"/>
      <c r="E40" s="511"/>
      <c r="F40" s="509">
        <f>'Output Statements'!B97</f>
        <v>1001.8546311320754</v>
      </c>
      <c r="G40" s="509">
        <f>'Output Statements'!C97</f>
        <v>976.46588113207531</v>
      </c>
      <c r="H40" s="509">
        <f>'Output Statements'!D97</f>
        <v>984.78763113207538</v>
      </c>
      <c r="I40" s="509">
        <f>'Output Statements'!E97</f>
        <v>975.96728113207541</v>
      </c>
      <c r="J40" s="509">
        <f>'Output Statements'!F97</f>
        <v>958.57535113207518</v>
      </c>
      <c r="K40" s="509"/>
      <c r="L40" s="509"/>
      <c r="M40" s="509"/>
    </row>
    <row r="41" spans="1:13" x14ac:dyDescent="0.2">
      <c r="A41" s="509" t="s">
        <v>352</v>
      </c>
      <c r="B41" s="509"/>
      <c r="C41" s="509"/>
      <c r="D41" s="510"/>
      <c r="E41" s="511"/>
      <c r="F41" s="515">
        <f>'Output Statements'!B17</f>
        <v>1.8841179012829692</v>
      </c>
      <c r="G41" s="515">
        <f>'Output Statements'!C17</f>
        <v>1.8407721792331202</v>
      </c>
      <c r="H41" s="515">
        <f>'Output Statements'!D17</f>
        <v>1.8633561034277129</v>
      </c>
      <c r="I41" s="515">
        <f>'Output Statements'!E17</f>
        <v>1.8730159194618117</v>
      </c>
      <c r="J41" s="515">
        <f>'Output Statements'!F17</f>
        <v>1.8854860366900255</v>
      </c>
      <c r="K41" s="509"/>
      <c r="L41" s="509"/>
      <c r="M41" s="509"/>
    </row>
    <row r="42" spans="1:13" x14ac:dyDescent="0.2">
      <c r="A42" s="509" t="s">
        <v>355</v>
      </c>
      <c r="B42" s="509"/>
      <c r="C42" s="509"/>
      <c r="D42" s="510"/>
      <c r="E42" s="511"/>
      <c r="F42" s="517">
        <f>'Output Statements'!B36</f>
        <v>4.3654800561643836E-2</v>
      </c>
      <c r="G42" s="517">
        <f>'Output Statements'!C36</f>
        <v>4.3479366788618135E-2</v>
      </c>
      <c r="H42" s="517">
        <f>'Output Statements'!D36</f>
        <v>4.8657085288486134E-2</v>
      </c>
      <c r="I42" s="517">
        <f>'Output Statements'!E36</f>
        <v>5.8454802086899481E-2</v>
      </c>
      <c r="J42" s="517">
        <f>'Output Statements'!F36</f>
        <v>7.460211137290379E-2</v>
      </c>
      <c r="K42" s="509"/>
      <c r="L42" s="509"/>
      <c r="M42" s="509"/>
    </row>
    <row r="43" spans="1:13" x14ac:dyDescent="0.2">
      <c r="A43" s="509" t="s">
        <v>354</v>
      </c>
      <c r="B43" s="509"/>
      <c r="C43" s="509"/>
      <c r="D43" s="510"/>
      <c r="E43" s="511"/>
      <c r="F43" s="517">
        <f>'Output Statements'!B35</f>
        <v>0.15568451519523038</v>
      </c>
      <c r="G43" s="517">
        <f>'Output Statements'!C35</f>
        <v>0.14943497524279611</v>
      </c>
      <c r="H43" s="517">
        <f>'Output Statements'!D35</f>
        <v>0.16093674817093226</v>
      </c>
      <c r="I43" s="517">
        <f>'Output Statements'!E35</f>
        <v>0.18578247423386426</v>
      </c>
      <c r="J43" s="517">
        <f>'Output Statements'!F35</f>
        <v>0.22745273549011766</v>
      </c>
      <c r="K43" s="509"/>
      <c r="L43" s="509"/>
      <c r="M43" s="509"/>
    </row>
    <row r="44" spans="1:13" x14ac:dyDescent="0.2">
      <c r="A44" s="512" t="s">
        <v>353</v>
      </c>
      <c r="B44" s="512"/>
      <c r="C44" s="512"/>
      <c r="D44" s="512"/>
      <c r="E44" s="512"/>
      <c r="F44" s="516">
        <f>'Output Statements'!B33</f>
        <v>0.80579377263793606</v>
      </c>
      <c r="G44" s="516">
        <f>'Output Statements'!C33</f>
        <v>1.0796951894275428</v>
      </c>
      <c r="H44" s="516">
        <f>'Output Statements'!D33</f>
        <v>1.0641365495687123</v>
      </c>
      <c r="I44" s="516">
        <f>'Output Statements'!E33</f>
        <v>1.1379240627260219</v>
      </c>
      <c r="J44" s="516">
        <f>'Output Statements'!F33</f>
        <v>2.9413528862855833</v>
      </c>
      <c r="K44" s="512"/>
      <c r="L44" s="512"/>
      <c r="M44" s="509"/>
    </row>
    <row r="45" spans="1:13" x14ac:dyDescent="0.2">
      <c r="A45" s="416"/>
      <c r="B45" s="416"/>
      <c r="C45" s="416"/>
      <c r="D45" s="417" t="s">
        <v>329</v>
      </c>
      <c r="E45" s="434"/>
      <c r="F45" s="434">
        <f>'Output Statements'!B130</f>
        <v>0</v>
      </c>
      <c r="G45" s="434">
        <f>'Output Statements'!C130</f>
        <v>40.805810455975035</v>
      </c>
      <c r="H45" s="434">
        <f>'Output Statements'!D130</f>
        <v>88.299223034591137</v>
      </c>
      <c r="I45" s="434">
        <f>'Output Statements'!E130</f>
        <v>18.191948034591235</v>
      </c>
      <c r="J45" s="434">
        <f>'Output Statements'!F130</f>
        <v>0</v>
      </c>
      <c r="K45" s="434"/>
      <c r="L45" s="434">
        <f>SUM(F45:K45)</f>
        <v>147.29698152515741</v>
      </c>
    </row>
  </sheetData>
  <mergeCells count="6">
    <mergeCell ref="F3:J3"/>
    <mergeCell ref="A26:B26"/>
    <mergeCell ref="A14:B14"/>
    <mergeCell ref="A3:B3"/>
    <mergeCell ref="D26:L26"/>
    <mergeCell ref="D14:L14"/>
  </mergeCells>
  <phoneticPr fontId="0" type="noConversion"/>
  <pageMargins left="0.7" right="0.7" top="0.75" bottom="0.75" header="0.3" footer="0.3"/>
  <pageSetup orientation="portrait" r:id="rId1"/>
  <ignoredErrors>
    <ignoredError sqref="L3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41"/>
  <sheetViews>
    <sheetView windowProtection="1" showRowColHeaders="0" workbookViewId="0">
      <selection activeCell="D8" sqref="D8"/>
    </sheetView>
  </sheetViews>
  <sheetFormatPr defaultRowHeight="12" x14ac:dyDescent="0.15"/>
  <cols>
    <col min="1" max="1" width="29" customWidth="1"/>
  </cols>
  <sheetData>
    <row r="1" spans="1:256" ht="23.25" x14ac:dyDescent="0.35">
      <c r="A1" s="126" t="str">
        <f>B3</f>
        <v>simulation water company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1:256" ht="23.25" x14ac:dyDescent="0.35">
      <c r="A2" s="306" t="s">
        <v>270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5"/>
      <c r="O2" s="35"/>
    </row>
    <row r="3" spans="1:256" ht="12.75" x14ac:dyDescent="0.2">
      <c r="A3" s="106" t="s">
        <v>257</v>
      </c>
      <c r="B3" s="329" t="s">
        <v>357</v>
      </c>
      <c r="C3" s="330"/>
      <c r="D3" s="330"/>
      <c r="E3" s="331"/>
      <c r="F3" s="332"/>
      <c r="G3" s="331"/>
      <c r="H3" s="332"/>
      <c r="I3" s="331"/>
      <c r="J3" s="332"/>
      <c r="K3" s="331"/>
      <c r="L3" s="332"/>
      <c r="M3" s="331"/>
      <c r="N3" s="332"/>
      <c r="O3" s="331"/>
      <c r="P3" s="45"/>
      <c r="Q3" s="1"/>
      <c r="R3" s="2"/>
      <c r="S3" s="1"/>
      <c r="T3" s="2"/>
      <c r="U3" s="1"/>
      <c r="V3" s="2"/>
      <c r="W3" s="1"/>
      <c r="X3" s="2"/>
      <c r="Y3" s="1"/>
      <c r="Z3" s="2"/>
      <c r="AA3" s="1"/>
      <c r="AB3" s="2"/>
      <c r="AC3" s="1"/>
      <c r="AD3" s="2"/>
      <c r="AE3" s="1"/>
      <c r="AF3" s="2"/>
      <c r="AG3" s="1"/>
      <c r="AH3" s="2"/>
      <c r="AI3" s="1"/>
      <c r="AJ3" s="2"/>
      <c r="AK3" s="1"/>
      <c r="AL3" s="2"/>
      <c r="AM3" s="1"/>
      <c r="AN3" s="2"/>
      <c r="AO3" s="1"/>
      <c r="AP3" s="2"/>
      <c r="AQ3" s="1"/>
      <c r="AR3" s="2"/>
      <c r="AS3" s="1"/>
      <c r="AT3" s="2"/>
      <c r="AU3" s="1"/>
      <c r="AV3" s="2"/>
      <c r="AW3" s="1"/>
      <c r="AX3" s="2"/>
      <c r="AY3" s="1"/>
      <c r="AZ3" s="2"/>
      <c r="BA3" s="1"/>
      <c r="BB3" s="2"/>
      <c r="BC3" s="1"/>
      <c r="BD3" s="2"/>
      <c r="BE3" s="1"/>
      <c r="BF3" s="2"/>
      <c r="BG3" s="1"/>
      <c r="BH3" s="2"/>
      <c r="BI3" s="1"/>
      <c r="BJ3" s="2"/>
      <c r="BK3" s="1"/>
      <c r="BL3" s="2"/>
      <c r="BM3" s="1"/>
      <c r="BN3" s="2"/>
      <c r="BO3" s="1"/>
      <c r="BP3" s="2"/>
      <c r="BQ3" s="1"/>
      <c r="BR3" s="2"/>
      <c r="BS3" s="1"/>
      <c r="BT3" s="2"/>
      <c r="BU3" s="1"/>
      <c r="BV3" s="2"/>
      <c r="BW3" s="1"/>
      <c r="BX3" s="2"/>
      <c r="BY3" s="1"/>
      <c r="BZ3" s="2"/>
      <c r="CA3" s="1"/>
      <c r="CB3" s="2"/>
      <c r="CC3" s="1"/>
      <c r="CD3" s="2"/>
      <c r="CE3" s="1"/>
      <c r="CF3" s="2"/>
      <c r="CG3" s="1"/>
      <c r="CH3" s="2"/>
      <c r="CI3" s="1"/>
      <c r="CJ3" s="2"/>
      <c r="CK3" s="1"/>
      <c r="CL3" s="2"/>
      <c r="CM3" s="1"/>
      <c r="CN3" s="2"/>
      <c r="CO3" s="1"/>
      <c r="CP3" s="2"/>
      <c r="CQ3" s="1"/>
      <c r="CR3" s="2"/>
      <c r="CS3" s="1"/>
      <c r="CT3" s="2"/>
      <c r="CU3" s="1"/>
      <c r="CV3" s="2"/>
      <c r="CW3" s="1"/>
      <c r="CX3" s="2"/>
      <c r="CY3" s="1"/>
      <c r="CZ3" s="2"/>
      <c r="DA3" s="1"/>
      <c r="DB3" s="2"/>
      <c r="DC3" s="1"/>
      <c r="DD3" s="2"/>
      <c r="DE3" s="1"/>
      <c r="DF3" s="2"/>
      <c r="DG3" s="1"/>
      <c r="DH3" s="2"/>
      <c r="DI3" s="1"/>
      <c r="DJ3" s="2"/>
      <c r="DK3" s="1"/>
      <c r="DL3" s="2"/>
      <c r="DM3" s="1"/>
      <c r="DN3" s="2"/>
      <c r="DO3" s="1"/>
      <c r="DP3" s="2"/>
      <c r="DQ3" s="1"/>
      <c r="DR3" s="2"/>
      <c r="DS3" s="1"/>
      <c r="DT3" s="2"/>
      <c r="DU3" s="1"/>
      <c r="DV3" s="2"/>
      <c r="DW3" s="1"/>
      <c r="DX3" s="2"/>
      <c r="DY3" s="1"/>
      <c r="DZ3" s="2"/>
      <c r="EA3" s="1"/>
      <c r="EB3" s="2"/>
      <c r="EC3" s="1"/>
      <c r="ED3" s="2"/>
      <c r="EE3" s="1"/>
      <c r="EF3" s="2"/>
      <c r="EG3" s="1"/>
      <c r="EH3" s="2"/>
      <c r="EI3" s="1"/>
      <c r="EJ3" s="2"/>
      <c r="EK3" s="1"/>
      <c r="EL3" s="2"/>
      <c r="EM3" s="1"/>
      <c r="EN3" s="2"/>
      <c r="EO3" s="1"/>
      <c r="EP3" s="2"/>
      <c r="EQ3" s="1"/>
      <c r="ER3" s="2"/>
      <c r="ES3" s="1"/>
      <c r="ET3" s="2"/>
      <c r="EU3" s="1"/>
      <c r="EV3" s="2"/>
      <c r="EW3" s="1"/>
      <c r="EX3" s="2"/>
      <c r="EY3" s="1"/>
      <c r="EZ3" s="2"/>
      <c r="FA3" s="1"/>
      <c r="FB3" s="2"/>
      <c r="FC3" s="1"/>
      <c r="FD3" s="2"/>
      <c r="FE3" s="1"/>
      <c r="FF3" s="2"/>
      <c r="FG3" s="1"/>
      <c r="FH3" s="2"/>
      <c r="FI3" s="1"/>
      <c r="FJ3" s="2"/>
      <c r="FK3" s="1"/>
      <c r="FL3" s="2"/>
      <c r="FM3" s="1"/>
      <c r="FN3" s="2"/>
      <c r="FO3" s="1"/>
      <c r="FP3" s="2"/>
      <c r="FQ3" s="1"/>
      <c r="FR3" s="2"/>
      <c r="FS3" s="1"/>
      <c r="FT3" s="2"/>
      <c r="FU3" s="1"/>
      <c r="FV3" s="2"/>
      <c r="FW3" s="1"/>
      <c r="FX3" s="2"/>
      <c r="FY3" s="1"/>
      <c r="FZ3" s="2"/>
      <c r="GA3" s="1"/>
      <c r="GB3" s="2"/>
      <c r="GC3" s="1"/>
      <c r="GD3" s="2"/>
      <c r="GE3" s="1"/>
      <c r="GF3" s="2"/>
      <c r="GG3" s="1"/>
      <c r="GH3" s="2"/>
      <c r="GI3" s="1"/>
      <c r="GJ3" s="2"/>
      <c r="GK3" s="1"/>
      <c r="GL3" s="2"/>
      <c r="GM3" s="1"/>
      <c r="GN3" s="2"/>
      <c r="GO3" s="1"/>
      <c r="GP3" s="2"/>
      <c r="GQ3" s="1"/>
      <c r="GR3" s="2"/>
      <c r="GS3" s="1"/>
      <c r="GT3" s="2"/>
      <c r="GU3" s="1"/>
      <c r="GV3" s="2"/>
      <c r="GW3" s="1"/>
      <c r="GX3" s="2"/>
      <c r="GY3" s="1"/>
      <c r="GZ3" s="2"/>
      <c r="HA3" s="1"/>
      <c r="HB3" s="2"/>
      <c r="HC3" s="1"/>
      <c r="HD3" s="2"/>
      <c r="HE3" s="1"/>
      <c r="HF3" s="2"/>
      <c r="HG3" s="1"/>
      <c r="HH3" s="2"/>
      <c r="HI3" s="1"/>
      <c r="HJ3" s="2"/>
      <c r="HK3" s="1"/>
      <c r="HL3" s="2"/>
      <c r="HM3" s="1"/>
      <c r="HN3" s="2"/>
      <c r="HO3" s="1"/>
      <c r="HP3" s="2"/>
      <c r="HQ3" s="1"/>
      <c r="HR3" s="2"/>
      <c r="HS3" s="1"/>
      <c r="HT3" s="2"/>
      <c r="HU3" s="1"/>
      <c r="HV3" s="2"/>
      <c r="HW3" s="1"/>
      <c r="HX3" s="2"/>
      <c r="HY3" s="1"/>
      <c r="HZ3" s="2"/>
      <c r="IA3" s="1"/>
      <c r="IB3" s="2"/>
      <c r="IC3" s="1"/>
      <c r="ID3" s="2"/>
      <c r="IE3" s="1"/>
      <c r="IF3" s="2"/>
      <c r="IG3" s="1"/>
      <c r="IH3" s="2"/>
      <c r="II3" s="1"/>
      <c r="IJ3" s="2"/>
      <c r="IK3" s="1"/>
      <c r="IL3" s="2"/>
      <c r="IM3" s="1"/>
      <c r="IN3" s="2"/>
      <c r="IO3" s="1"/>
      <c r="IP3" s="2"/>
      <c r="IQ3" s="1"/>
      <c r="IR3" s="2"/>
      <c r="IS3" s="1"/>
      <c r="IT3" s="2"/>
      <c r="IU3" s="1"/>
      <c r="IV3" s="2"/>
    </row>
    <row r="4" spans="1:256" ht="12.75" x14ac:dyDescent="0.2">
      <c r="A4" s="302" t="s">
        <v>58</v>
      </c>
      <c r="B4" s="333">
        <v>2017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256" ht="12.75" x14ac:dyDescent="0.2">
      <c r="A5" s="106" t="s">
        <v>59</v>
      </c>
      <c r="B5" s="332" t="s">
        <v>358</v>
      </c>
      <c r="C5" s="330"/>
      <c r="D5" s="330"/>
      <c r="E5" s="330"/>
      <c r="F5" s="334"/>
      <c r="G5" s="335"/>
      <c r="H5" s="330"/>
      <c r="I5" s="330"/>
      <c r="J5" s="330"/>
      <c r="K5" s="330"/>
      <c r="L5" s="330"/>
      <c r="M5" s="330"/>
      <c r="N5" s="330"/>
      <c r="O5" s="330"/>
    </row>
    <row r="6" spans="1:256" ht="12.75" x14ac:dyDescent="0.2">
      <c r="A6" s="106" t="s">
        <v>60</v>
      </c>
      <c r="B6" s="336" t="s">
        <v>276</v>
      </c>
      <c r="C6" s="334"/>
      <c r="D6" s="334"/>
      <c r="E6" s="334"/>
      <c r="F6" s="334"/>
      <c r="G6" s="334"/>
      <c r="H6" s="330"/>
      <c r="I6" s="330"/>
      <c r="J6" s="330"/>
      <c r="K6" s="330"/>
      <c r="L6" s="330"/>
      <c r="M6" s="330"/>
      <c r="N6" s="330"/>
      <c r="O6" s="330"/>
    </row>
    <row r="7" spans="1:256" ht="12.75" x14ac:dyDescent="0.2">
      <c r="A7" s="106" t="s">
        <v>61</v>
      </c>
      <c r="B7" s="336" t="s">
        <v>307</v>
      </c>
      <c r="C7" s="334"/>
      <c r="D7" s="334"/>
      <c r="E7" s="334"/>
      <c r="F7" s="334"/>
      <c r="G7" s="334"/>
      <c r="H7" s="330"/>
      <c r="I7" s="330"/>
      <c r="J7" s="330"/>
      <c r="K7" s="330"/>
      <c r="L7" s="330"/>
      <c r="M7" s="330"/>
      <c r="N7" s="330"/>
      <c r="O7" s="330"/>
    </row>
    <row r="8" spans="1:256" ht="12.75" x14ac:dyDescent="0.2">
      <c r="A8" s="106" t="s">
        <v>62</v>
      </c>
      <c r="B8" s="332" t="s">
        <v>287</v>
      </c>
      <c r="C8" s="330"/>
      <c r="D8" s="330"/>
      <c r="E8" s="330"/>
      <c r="F8" s="330"/>
      <c r="G8" s="330"/>
      <c r="H8" s="330"/>
      <c r="I8" s="330"/>
      <c r="J8" s="330"/>
      <c r="K8" s="330"/>
      <c r="L8" s="330"/>
      <c r="M8" s="330"/>
      <c r="N8" s="330"/>
      <c r="O8" s="330"/>
    </row>
    <row r="9" spans="1:256" ht="12.75" x14ac:dyDescent="0.2">
      <c r="A9" s="106" t="s">
        <v>258</v>
      </c>
      <c r="B9" s="332" t="s">
        <v>288</v>
      </c>
      <c r="C9" s="330"/>
      <c r="D9" s="330"/>
      <c r="E9" s="330"/>
      <c r="F9" s="330"/>
      <c r="G9" s="330"/>
      <c r="H9" s="330"/>
      <c r="I9" s="330"/>
      <c r="J9" s="330"/>
      <c r="K9" s="330"/>
      <c r="L9" s="330"/>
      <c r="M9" s="330"/>
      <c r="N9" s="330"/>
      <c r="O9" s="330"/>
    </row>
    <row r="10" spans="1:256" ht="12.75" x14ac:dyDescent="0.2">
      <c r="A10" s="106" t="s">
        <v>64</v>
      </c>
      <c r="B10" s="303">
        <f t="shared" ref="B10:O10" si="0">1*$B$382</f>
        <v>0</v>
      </c>
      <c r="C10" s="303">
        <f t="shared" si="0"/>
        <v>0</v>
      </c>
      <c r="D10" s="303">
        <f t="shared" si="0"/>
        <v>0</v>
      </c>
      <c r="E10" s="303">
        <f t="shared" si="0"/>
        <v>0</v>
      </c>
      <c r="F10" s="303">
        <f t="shared" si="0"/>
        <v>0</v>
      </c>
      <c r="G10" s="303">
        <f t="shared" si="0"/>
        <v>0</v>
      </c>
      <c r="H10" s="303">
        <f t="shared" si="0"/>
        <v>0</v>
      </c>
      <c r="I10" s="303">
        <f t="shared" si="0"/>
        <v>0</v>
      </c>
      <c r="J10" s="303">
        <f t="shared" si="0"/>
        <v>0</v>
      </c>
      <c r="K10" s="303">
        <f t="shared" si="0"/>
        <v>0</v>
      </c>
      <c r="L10" s="303">
        <f t="shared" si="0"/>
        <v>0</v>
      </c>
      <c r="M10" s="303">
        <f t="shared" si="0"/>
        <v>0</v>
      </c>
      <c r="N10" s="303">
        <f t="shared" si="0"/>
        <v>0</v>
      </c>
      <c r="O10" s="303">
        <f t="shared" si="0"/>
        <v>0</v>
      </c>
    </row>
    <row r="11" spans="1:256" ht="12.75" x14ac:dyDescent="0.2">
      <c r="A11" s="106" t="s">
        <v>65</v>
      </c>
      <c r="B11" s="337">
        <v>0</v>
      </c>
      <c r="C11" s="337">
        <v>0</v>
      </c>
      <c r="D11" s="337">
        <v>0</v>
      </c>
      <c r="E11" s="337">
        <v>0</v>
      </c>
      <c r="F11" s="337">
        <v>0</v>
      </c>
      <c r="G11" s="337">
        <v>0</v>
      </c>
      <c r="H11" s="337">
        <v>0</v>
      </c>
      <c r="I11" s="337">
        <v>0</v>
      </c>
      <c r="J11" s="337">
        <v>0</v>
      </c>
      <c r="K11" s="337">
        <v>0</v>
      </c>
      <c r="L11" s="337">
        <v>0</v>
      </c>
      <c r="M11" s="337">
        <v>0</v>
      </c>
      <c r="N11" s="337">
        <v>0</v>
      </c>
      <c r="O11" s="337">
        <v>0</v>
      </c>
    </row>
    <row r="12" spans="1:256" ht="12.75" x14ac:dyDescent="0.2">
      <c r="A12" s="106" t="s">
        <v>66</v>
      </c>
      <c r="B12" s="304">
        <f>1*(1+B11)</f>
        <v>1</v>
      </c>
      <c r="C12" s="304">
        <f t="shared" ref="C12:O12" si="1">B12*(1+C11)</f>
        <v>1</v>
      </c>
      <c r="D12" s="304">
        <f t="shared" si="1"/>
        <v>1</v>
      </c>
      <c r="E12" s="304">
        <f t="shared" si="1"/>
        <v>1</v>
      </c>
      <c r="F12" s="304">
        <f t="shared" si="1"/>
        <v>1</v>
      </c>
      <c r="G12" s="304">
        <f t="shared" si="1"/>
        <v>1</v>
      </c>
      <c r="H12" s="304">
        <f t="shared" si="1"/>
        <v>1</v>
      </c>
      <c r="I12" s="304">
        <f t="shared" si="1"/>
        <v>1</v>
      </c>
      <c r="J12" s="304">
        <f t="shared" si="1"/>
        <v>1</v>
      </c>
      <c r="K12" s="304">
        <f t="shared" si="1"/>
        <v>1</v>
      </c>
      <c r="L12" s="304">
        <f t="shared" si="1"/>
        <v>1</v>
      </c>
      <c r="M12" s="304">
        <f t="shared" si="1"/>
        <v>1</v>
      </c>
      <c r="N12" s="304">
        <f t="shared" si="1"/>
        <v>1</v>
      </c>
      <c r="O12" s="304">
        <f t="shared" si="1"/>
        <v>1</v>
      </c>
    </row>
    <row r="13" spans="1:256" ht="12.75" x14ac:dyDescent="0.2">
      <c r="A13" s="106" t="s">
        <v>245</v>
      </c>
      <c r="B13" s="304">
        <f>(+B12+1)/2</f>
        <v>1</v>
      </c>
      <c r="C13" s="305">
        <f t="shared" ref="C13:O13" si="2">(+B12+C12)/2</f>
        <v>1</v>
      </c>
      <c r="D13" s="305">
        <f t="shared" si="2"/>
        <v>1</v>
      </c>
      <c r="E13" s="305">
        <f t="shared" si="2"/>
        <v>1</v>
      </c>
      <c r="F13" s="305">
        <f t="shared" si="2"/>
        <v>1</v>
      </c>
      <c r="G13" s="305">
        <f t="shared" si="2"/>
        <v>1</v>
      </c>
      <c r="H13" s="305">
        <f t="shared" si="2"/>
        <v>1</v>
      </c>
      <c r="I13" s="305">
        <f t="shared" si="2"/>
        <v>1</v>
      </c>
      <c r="J13" s="305">
        <f t="shared" si="2"/>
        <v>1</v>
      </c>
      <c r="K13" s="305">
        <f t="shared" si="2"/>
        <v>1</v>
      </c>
      <c r="L13" s="305">
        <f t="shared" si="2"/>
        <v>1</v>
      </c>
      <c r="M13" s="305">
        <f t="shared" si="2"/>
        <v>1</v>
      </c>
      <c r="N13" s="305">
        <f t="shared" si="2"/>
        <v>1</v>
      </c>
      <c r="O13" s="305">
        <f t="shared" si="2"/>
        <v>1</v>
      </c>
    </row>
    <row r="14" spans="1:256" ht="23.25" x14ac:dyDescent="0.35">
      <c r="A14" s="301" t="s">
        <v>269</v>
      </c>
      <c r="B14" s="299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</row>
    <row r="15" spans="1:256" ht="12.75" x14ac:dyDescent="0.2">
      <c r="A15" s="297"/>
      <c r="B15" s="298">
        <f>Assumptions!B4+1</f>
        <v>2018</v>
      </c>
      <c r="C15" s="298">
        <f>B15+1</f>
        <v>2019</v>
      </c>
      <c r="D15" s="298">
        <f>C15+1</f>
        <v>2020</v>
      </c>
      <c r="E15" s="298">
        <f>D15+1</f>
        <v>2021</v>
      </c>
      <c r="F15" s="298">
        <f>E15+1</f>
        <v>2022</v>
      </c>
      <c r="G15" s="107"/>
      <c r="H15" s="107"/>
      <c r="I15" s="107"/>
      <c r="J15" s="85"/>
      <c r="K15" s="85"/>
      <c r="L15" s="85"/>
      <c r="M15" s="85"/>
      <c r="N15" s="85"/>
      <c r="O15" s="85"/>
    </row>
    <row r="16" spans="1:256" ht="12.75" x14ac:dyDescent="0.2">
      <c r="A16" s="106" t="s">
        <v>13</v>
      </c>
      <c r="B16" s="338">
        <v>1.5</v>
      </c>
      <c r="C16" s="338">
        <v>1.5</v>
      </c>
      <c r="D16" s="338">
        <v>1.5</v>
      </c>
      <c r="E16" s="338">
        <v>1.5</v>
      </c>
      <c r="F16" s="338">
        <v>1.5</v>
      </c>
      <c r="G16" s="104" t="s">
        <v>14</v>
      </c>
      <c r="H16" s="105"/>
      <c r="I16" s="105"/>
      <c r="J16" s="85"/>
      <c r="K16" s="85"/>
      <c r="L16" s="85"/>
      <c r="M16" s="85"/>
      <c r="N16" s="85"/>
      <c r="O16" s="85"/>
    </row>
    <row r="17" spans="1:15" ht="12.75" x14ac:dyDescent="0.2">
      <c r="A17" s="106" t="s">
        <v>17</v>
      </c>
      <c r="B17" s="437">
        <f>5-'Connections &amp; Opex'!B16</f>
        <v>5</v>
      </c>
      <c r="C17" s="437">
        <f>B17-'Connections &amp; Opex'!C16</f>
        <v>5</v>
      </c>
      <c r="D17" s="437">
        <f>C17-'Connections &amp; Opex'!D16</f>
        <v>5</v>
      </c>
      <c r="E17" s="437">
        <f>D17-'Connections &amp; Opex'!E16</f>
        <v>5</v>
      </c>
      <c r="F17" s="437">
        <f>E17-'Connections &amp; Opex'!F16</f>
        <v>5</v>
      </c>
      <c r="G17" s="104" t="s">
        <v>18</v>
      </c>
      <c r="H17" s="105"/>
      <c r="I17" s="105"/>
      <c r="J17" s="85"/>
      <c r="K17" s="85"/>
      <c r="L17" s="85"/>
      <c r="M17" s="85"/>
      <c r="N17" s="85"/>
      <c r="O17" s="85"/>
    </row>
    <row r="18" spans="1:15" ht="12.75" x14ac:dyDescent="0.2">
      <c r="A18" s="106" t="s">
        <v>254</v>
      </c>
      <c r="B18" s="339">
        <v>0.1</v>
      </c>
      <c r="C18" s="339">
        <v>0.1</v>
      </c>
      <c r="D18" s="339">
        <v>0.1</v>
      </c>
      <c r="E18" s="339">
        <v>0.1</v>
      </c>
      <c r="F18" s="339">
        <v>0.1</v>
      </c>
      <c r="G18" s="104" t="s">
        <v>262</v>
      </c>
      <c r="H18" s="105"/>
      <c r="I18" s="105"/>
      <c r="J18" s="85"/>
      <c r="K18" s="85"/>
      <c r="L18" s="85"/>
      <c r="M18" s="85"/>
      <c r="N18" s="85"/>
      <c r="O18" s="85"/>
    </row>
    <row r="19" spans="1:15" ht="12.75" x14ac:dyDescent="0.2">
      <c r="A19" s="106" t="s">
        <v>19</v>
      </c>
      <c r="B19" s="340">
        <v>0</v>
      </c>
      <c r="C19" s="340">
        <v>0</v>
      </c>
      <c r="D19" s="340">
        <v>0</v>
      </c>
      <c r="E19" s="340">
        <v>0</v>
      </c>
      <c r="F19" s="340">
        <v>0</v>
      </c>
      <c r="G19" s="104" t="s">
        <v>20</v>
      </c>
      <c r="H19" s="105"/>
      <c r="I19" s="105"/>
      <c r="J19" s="85"/>
      <c r="K19" s="85"/>
      <c r="L19" s="85"/>
      <c r="M19" s="85"/>
      <c r="N19" s="85"/>
      <c r="O19" s="85"/>
    </row>
    <row r="20" spans="1:15" ht="12.75" x14ac:dyDescent="0.2">
      <c r="A20" s="294" t="s">
        <v>274</v>
      </c>
      <c r="B20" s="438">
        <f>7-(Dashboard!F11*2)</f>
        <v>7</v>
      </c>
      <c r="C20" s="437">
        <f>+B20-(Dashboard!G11*2)</f>
        <v>7</v>
      </c>
      <c r="D20" s="437">
        <f>+C20-(Dashboard!H11*2)</f>
        <v>7</v>
      </c>
      <c r="E20" s="437">
        <f>+D20-(Dashboard!I11*2)</f>
        <v>7</v>
      </c>
      <c r="F20" s="437">
        <f>+E20-(Dashboard!J11*2)</f>
        <v>7</v>
      </c>
      <c r="G20" s="294" t="s">
        <v>24</v>
      </c>
      <c r="H20" s="295"/>
      <c r="I20" s="295"/>
      <c r="J20" s="85"/>
      <c r="K20" s="85"/>
      <c r="L20" s="85"/>
      <c r="M20" s="85"/>
      <c r="N20" s="85"/>
      <c r="O20" s="85"/>
    </row>
    <row r="21" spans="1:15" ht="12.75" x14ac:dyDescent="0.2">
      <c r="A21" s="106" t="s">
        <v>25</v>
      </c>
      <c r="B21" s="338">
        <v>1.5</v>
      </c>
      <c r="C21" s="338">
        <v>1.5</v>
      </c>
      <c r="D21" s="338">
        <v>1.5</v>
      </c>
      <c r="E21" s="338">
        <v>1.5</v>
      </c>
      <c r="F21" s="338">
        <v>1.5</v>
      </c>
      <c r="G21" s="108" t="s">
        <v>14</v>
      </c>
      <c r="H21" s="105"/>
      <c r="I21" s="105"/>
      <c r="J21" s="85"/>
      <c r="K21" s="85"/>
      <c r="L21" s="85"/>
      <c r="M21" s="85"/>
      <c r="N21" s="85"/>
      <c r="O21" s="85"/>
    </row>
    <row r="22" spans="1:15" ht="12.75" x14ac:dyDescent="0.2">
      <c r="A22" s="87" t="s">
        <v>255</v>
      </c>
      <c r="B22" s="339">
        <v>0</v>
      </c>
      <c r="C22" s="339">
        <v>0</v>
      </c>
      <c r="D22" s="339">
        <v>0</v>
      </c>
      <c r="E22" s="339">
        <v>0</v>
      </c>
      <c r="F22" s="339">
        <v>0</v>
      </c>
      <c r="G22" s="271" t="s">
        <v>263</v>
      </c>
      <c r="H22" s="3"/>
      <c r="I22" s="3"/>
      <c r="J22" s="85"/>
      <c r="K22" s="85"/>
      <c r="L22" s="85"/>
      <c r="M22" s="85"/>
      <c r="N22" s="85"/>
      <c r="O22" s="85"/>
    </row>
    <row r="23" spans="1:15" ht="12.75" x14ac:dyDescent="0.2">
      <c r="A23" s="106" t="s">
        <v>15</v>
      </c>
      <c r="B23" s="340">
        <v>0.75</v>
      </c>
      <c r="C23" s="340">
        <v>0.75</v>
      </c>
      <c r="D23" s="340">
        <v>0.75</v>
      </c>
      <c r="E23" s="340">
        <v>0.75</v>
      </c>
      <c r="F23" s="340">
        <v>0.75</v>
      </c>
      <c r="G23" s="104" t="s">
        <v>16</v>
      </c>
      <c r="H23" s="105"/>
      <c r="I23" s="105"/>
      <c r="J23" s="85"/>
      <c r="K23" s="85"/>
      <c r="L23" s="85"/>
      <c r="M23" s="85"/>
      <c r="N23" s="85"/>
      <c r="O23" s="85"/>
    </row>
    <row r="24" spans="1:15" ht="12.75" x14ac:dyDescent="0.2">
      <c r="A24" s="106" t="s">
        <v>143</v>
      </c>
      <c r="B24" s="340">
        <v>0</v>
      </c>
      <c r="C24" s="340">
        <v>0</v>
      </c>
      <c r="D24" s="340">
        <v>0</v>
      </c>
      <c r="E24" s="340">
        <v>0</v>
      </c>
      <c r="F24" s="340">
        <v>0</v>
      </c>
      <c r="G24" s="104" t="s">
        <v>275</v>
      </c>
      <c r="H24" s="105"/>
      <c r="I24" s="105"/>
      <c r="J24" s="85"/>
      <c r="K24" s="85"/>
      <c r="L24" s="85"/>
      <c r="M24" s="85"/>
      <c r="N24" s="85"/>
      <c r="O24" s="85"/>
    </row>
    <row r="25" spans="1:15" ht="12.75" x14ac:dyDescent="0.2">
      <c r="A25" s="106" t="s">
        <v>21</v>
      </c>
      <c r="B25" s="439">
        <f>20%-('Connections &amp; Opex'!B16*0.05)</f>
        <v>0.2</v>
      </c>
      <c r="C25" s="439">
        <f>B25-('Connections &amp; Opex'!C16*0.05)</f>
        <v>0.2</v>
      </c>
      <c r="D25" s="439">
        <f>C25-('Connections &amp; Opex'!D16*0.05)</f>
        <v>0.2</v>
      </c>
      <c r="E25" s="439">
        <f>D25-('Connections &amp; Opex'!E16*0.05)</f>
        <v>0.2</v>
      </c>
      <c r="F25" s="439">
        <f>E25-('Connections &amp; Opex'!F16*0.05)</f>
        <v>0.2</v>
      </c>
      <c r="G25" s="104" t="s">
        <v>22</v>
      </c>
      <c r="H25" s="105"/>
      <c r="I25" s="105"/>
      <c r="J25" s="85"/>
      <c r="K25" s="85"/>
      <c r="L25" s="85"/>
      <c r="M25" s="85"/>
      <c r="N25" s="85"/>
      <c r="O25" s="85"/>
    </row>
    <row r="26" spans="1:15" ht="12.75" x14ac:dyDescent="0.2">
      <c r="A26" s="104" t="s">
        <v>23</v>
      </c>
      <c r="B26" s="341">
        <v>0</v>
      </c>
      <c r="C26" s="341">
        <v>0</v>
      </c>
      <c r="D26" s="341">
        <v>0</v>
      </c>
      <c r="E26" s="341">
        <v>0</v>
      </c>
      <c r="F26" s="341">
        <v>0</v>
      </c>
      <c r="G26" s="104" t="s">
        <v>264</v>
      </c>
      <c r="H26" s="105"/>
      <c r="I26" s="105"/>
      <c r="J26" s="85"/>
      <c r="K26" s="85"/>
      <c r="L26" s="85"/>
      <c r="M26" s="85"/>
      <c r="N26" s="85"/>
      <c r="O26" s="85"/>
    </row>
    <row r="27" spans="1:15" ht="12.75" x14ac:dyDescent="0.2">
      <c r="A27" s="106" t="s">
        <v>26</v>
      </c>
      <c r="B27" s="342">
        <v>1.7500000000000002E-2</v>
      </c>
      <c r="C27" s="343"/>
      <c r="D27" s="343"/>
      <c r="E27" s="343"/>
      <c r="F27" s="343"/>
      <c r="G27" s="108" t="s">
        <v>27</v>
      </c>
      <c r="H27" s="105"/>
      <c r="I27" s="105"/>
      <c r="J27" s="85"/>
      <c r="K27" s="85"/>
      <c r="L27" s="85"/>
      <c r="M27" s="85"/>
      <c r="N27" s="85"/>
      <c r="O27" s="85"/>
    </row>
    <row r="28" spans="1:15" ht="12.75" x14ac:dyDescent="0.2">
      <c r="A28" s="106" t="s">
        <v>28</v>
      </c>
      <c r="B28" s="344">
        <v>0.2</v>
      </c>
      <c r="C28" s="344">
        <v>0.2</v>
      </c>
      <c r="D28" s="344">
        <v>0.2</v>
      </c>
      <c r="E28" s="344">
        <v>0.2</v>
      </c>
      <c r="F28" s="344">
        <v>0.2</v>
      </c>
      <c r="G28" s="106" t="s">
        <v>29</v>
      </c>
      <c r="H28" s="107"/>
      <c r="I28" s="107"/>
      <c r="J28" s="85"/>
      <c r="K28" s="85"/>
      <c r="L28" s="85"/>
      <c r="M28" s="85"/>
      <c r="N28" s="85"/>
      <c r="O28" s="85"/>
    </row>
    <row r="29" spans="1:15" ht="12.75" x14ac:dyDescent="0.2">
      <c r="A29" s="307" t="s">
        <v>282</v>
      </c>
      <c r="B29" s="344">
        <v>0.05</v>
      </c>
      <c r="C29" s="373"/>
      <c r="D29" s="373"/>
      <c r="E29" s="373"/>
      <c r="F29" s="373"/>
      <c r="G29" s="307" t="s">
        <v>283</v>
      </c>
      <c r="H29" s="85"/>
      <c r="I29" s="85"/>
      <c r="J29" s="85"/>
      <c r="K29" s="85"/>
      <c r="L29" s="85"/>
      <c r="M29" s="85"/>
      <c r="N29" s="85"/>
      <c r="O29" s="85"/>
    </row>
    <row r="30" spans="1:15" x14ac:dyDescent="0.15">
      <c r="A30" s="85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</row>
    <row r="31" spans="1:15" x14ac:dyDescent="0.15">
      <c r="A31" s="85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</row>
    <row r="32" spans="1:15" x14ac:dyDescent="0.15">
      <c r="A32" s="85"/>
      <c r="B32" s="85"/>
      <c r="C32" s="85"/>
      <c r="D32" s="85"/>
      <c r="E32" s="85"/>
      <c r="F32" s="85">
        <v>3</v>
      </c>
      <c r="G32" s="85"/>
      <c r="H32" s="85"/>
      <c r="I32" s="85"/>
      <c r="J32" s="85"/>
      <c r="K32" s="85"/>
      <c r="L32" s="85"/>
      <c r="M32" s="85"/>
      <c r="N32" s="85"/>
      <c r="O32" s="85"/>
    </row>
    <row r="33" spans="1:15" x14ac:dyDescent="0.15">
      <c r="A33" s="85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</row>
    <row r="34" spans="1:15" x14ac:dyDescent="0.15">
      <c r="A34" s="85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</row>
    <row r="35" spans="1:15" x14ac:dyDescent="0.15">
      <c r="A35" s="85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</row>
    <row r="36" spans="1:15" x14ac:dyDescent="0.15">
      <c r="A36" s="85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</row>
    <row r="37" spans="1:15" x14ac:dyDescent="0.15">
      <c r="A37" s="85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</row>
    <row r="38" spans="1:15" x14ac:dyDescent="0.15">
      <c r="A38" s="85"/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</row>
    <row r="39" spans="1:15" x14ac:dyDescent="0.15">
      <c r="A39" s="85"/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</row>
    <row r="40" spans="1:15" x14ac:dyDescent="0.15">
      <c r="A40" s="85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</row>
    <row r="41" spans="1:15" x14ac:dyDescent="0.15">
      <c r="A41" s="85"/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</row>
  </sheetData>
  <phoneticPr fontId="0" type="noConversion"/>
  <printOptions gridLines="1" gridLinesSet="0"/>
  <pageMargins left="1.42" right="0.75" top="1.99" bottom="1" header="0.5" footer="0.5"/>
  <pageSetup scale="65" orientation="landscape" horizontalDpi="4294967292" verticalDpi="300" r:id="rId1"/>
  <headerFooter alignWithMargins="0">
    <oddFooter>&amp;C&amp;"Arial,Regular"Assumption Schedule - Page No. 4</oddFooter>
  </headerFooter>
  <ignoredErrors>
    <ignoredError sqref="B17:F17 B25:F25 B20 C20:F20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206"/>
  <sheetViews>
    <sheetView windowProtection="1" workbookViewId="0">
      <selection activeCell="I14" sqref="I14"/>
    </sheetView>
  </sheetViews>
  <sheetFormatPr defaultRowHeight="12" x14ac:dyDescent="0.15"/>
  <cols>
    <col min="1" max="1" width="6.625" customWidth="1"/>
    <col min="2" max="2" width="10" customWidth="1"/>
    <col min="3" max="3" width="14.25" customWidth="1"/>
    <col min="4" max="4" width="11.125" customWidth="1"/>
    <col min="5" max="5" width="10.875" customWidth="1"/>
    <col min="6" max="6" width="11.75" customWidth="1"/>
    <col min="7" max="7" width="13.125" customWidth="1"/>
    <col min="8" max="8" width="9.375" customWidth="1"/>
  </cols>
  <sheetData>
    <row r="1" spans="1:16" x14ac:dyDescent="0.15">
      <c r="A1" s="85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46"/>
      <c r="O1" s="46"/>
      <c r="P1" s="46"/>
    </row>
    <row r="2" spans="1:16" ht="23.25" customHeight="1" x14ac:dyDescent="0.15">
      <c r="A2" s="85"/>
      <c r="B2" s="532" t="str">
        <f>Assumptions!B3</f>
        <v>simulation water company</v>
      </c>
      <c r="C2" s="532"/>
      <c r="D2" s="532"/>
      <c r="E2" s="532"/>
      <c r="F2" s="532"/>
      <c r="G2" s="532"/>
      <c r="H2" s="102"/>
      <c r="I2" s="85"/>
      <c r="J2" s="85"/>
      <c r="K2" s="85"/>
      <c r="L2" s="85"/>
      <c r="M2" s="85"/>
      <c r="N2" s="46"/>
      <c r="O2" s="46"/>
      <c r="P2" s="46"/>
    </row>
    <row r="3" spans="1:16" ht="12.75" thickBot="1" x14ac:dyDescent="0.2">
      <c r="A3" s="85"/>
      <c r="B3" s="533"/>
      <c r="C3" s="533"/>
      <c r="D3" s="533"/>
      <c r="E3" s="533"/>
      <c r="F3" s="533"/>
      <c r="G3" s="533"/>
      <c r="H3" s="85"/>
      <c r="I3" s="85"/>
      <c r="J3" s="85"/>
      <c r="K3" s="85"/>
      <c r="L3" s="85"/>
      <c r="M3" s="85"/>
      <c r="N3" s="46"/>
      <c r="O3" s="46"/>
      <c r="P3" s="46"/>
    </row>
    <row r="4" spans="1:16" ht="18.75" thickBot="1" x14ac:dyDescent="0.3">
      <c r="A4" s="85"/>
      <c r="B4" s="7" t="s">
        <v>0</v>
      </c>
      <c r="C4" s="188"/>
      <c r="D4" s="8"/>
      <c r="E4" s="8"/>
      <c r="F4" s="8"/>
      <c r="G4" s="9"/>
      <c r="H4" s="85"/>
      <c r="I4" s="85"/>
      <c r="J4" s="85"/>
      <c r="K4" s="85"/>
      <c r="L4" s="85"/>
      <c r="M4" s="85"/>
      <c r="N4" s="46"/>
      <c r="O4" s="46"/>
      <c r="P4" s="46"/>
    </row>
    <row r="5" spans="1:16" ht="12.75" thickBot="1" x14ac:dyDescent="0.2">
      <c r="A5" s="85"/>
      <c r="B5" s="13"/>
      <c r="C5" s="14"/>
      <c r="D5" s="14"/>
      <c r="E5" s="14"/>
      <c r="F5" s="14"/>
      <c r="G5" s="15"/>
      <c r="H5" s="85"/>
      <c r="I5" s="85"/>
      <c r="J5" s="85"/>
      <c r="K5" s="85"/>
      <c r="L5" s="85"/>
      <c r="M5" s="85"/>
      <c r="N5" s="46"/>
      <c r="O5" s="46"/>
      <c r="P5" s="46"/>
    </row>
    <row r="6" spans="1:16" ht="16.5" thickBot="1" x14ac:dyDescent="0.3">
      <c r="A6" s="85"/>
      <c r="B6" s="4" t="s">
        <v>1</v>
      </c>
      <c r="C6" s="189"/>
      <c r="D6" s="5"/>
      <c r="E6" s="5"/>
      <c r="F6" s="19" t="str">
        <f>Assumptions!B7</f>
        <v>Millions FM</v>
      </c>
      <c r="G6" s="6"/>
      <c r="H6" s="85"/>
      <c r="I6" s="85"/>
      <c r="J6" s="85"/>
      <c r="K6" s="85"/>
      <c r="L6" s="85"/>
      <c r="M6" s="85"/>
      <c r="N6" s="46"/>
      <c r="O6" s="46"/>
      <c r="P6" s="46"/>
    </row>
    <row r="7" spans="1:16" ht="13.5" thickBot="1" x14ac:dyDescent="0.25">
      <c r="A7" s="85"/>
      <c r="B7" s="16"/>
      <c r="C7" s="17"/>
      <c r="D7" s="17"/>
      <c r="E7" s="17"/>
      <c r="F7" s="17"/>
      <c r="G7" s="18"/>
      <c r="H7" s="85"/>
      <c r="I7" s="85"/>
      <c r="J7" s="85"/>
      <c r="K7" s="85"/>
      <c r="L7" s="85"/>
      <c r="M7" s="85"/>
      <c r="N7" s="46"/>
      <c r="O7" s="46"/>
      <c r="P7" s="46"/>
    </row>
    <row r="8" spans="1:16" ht="13.5" thickBot="1" x14ac:dyDescent="0.25">
      <c r="A8" s="85"/>
      <c r="B8" s="10" t="s">
        <v>2</v>
      </c>
      <c r="C8" s="191"/>
      <c r="D8" s="290">
        <f>Assumptions!B4</f>
        <v>2017</v>
      </c>
      <c r="E8" s="11" t="s">
        <v>3</v>
      </c>
      <c r="F8" s="12"/>
      <c r="G8" s="290">
        <f>Assumptions!B4</f>
        <v>2017</v>
      </c>
      <c r="H8" s="85"/>
      <c r="I8" s="85"/>
      <c r="J8" s="85"/>
      <c r="K8" s="85"/>
      <c r="L8" s="85"/>
      <c r="M8" s="85"/>
      <c r="N8" s="46"/>
      <c r="O8" s="46"/>
      <c r="P8" s="46"/>
    </row>
    <row r="9" spans="1:16" ht="12.75" x14ac:dyDescent="0.2">
      <c r="A9" s="85"/>
      <c r="B9" s="127" t="s">
        <v>4</v>
      </c>
      <c r="C9" s="134"/>
      <c r="D9" s="20">
        <v>50</v>
      </c>
      <c r="E9" s="132" t="s">
        <v>250</v>
      </c>
      <c r="F9" s="133"/>
      <c r="G9" s="25">
        <v>70</v>
      </c>
      <c r="H9" s="85"/>
      <c r="I9" s="85"/>
      <c r="J9" s="85"/>
      <c r="K9" s="85"/>
      <c r="L9" s="85"/>
      <c r="M9" s="85"/>
      <c r="N9" s="46"/>
      <c r="O9" s="46"/>
      <c r="P9" s="46"/>
    </row>
    <row r="10" spans="1:16" ht="12.75" x14ac:dyDescent="0.2">
      <c r="A10" s="85"/>
      <c r="B10" s="127" t="s">
        <v>17</v>
      </c>
      <c r="C10" s="134"/>
      <c r="D10" s="20">
        <v>700</v>
      </c>
      <c r="E10" s="132" t="s">
        <v>256</v>
      </c>
      <c r="F10" s="133"/>
      <c r="G10" s="20"/>
      <c r="H10" s="85"/>
      <c r="I10" s="85"/>
      <c r="J10" s="85"/>
      <c r="K10" s="85"/>
      <c r="L10" s="85"/>
      <c r="M10" s="85"/>
      <c r="N10" s="46"/>
      <c r="O10" s="46"/>
      <c r="P10" s="46"/>
    </row>
    <row r="11" spans="1:16" ht="12.75" x14ac:dyDescent="0.2">
      <c r="A11" s="85"/>
      <c r="B11" s="127" t="s">
        <v>248</v>
      </c>
      <c r="C11" s="134"/>
      <c r="D11" s="20">
        <v>50</v>
      </c>
      <c r="E11" s="132" t="str">
        <f>'Projects &amp; Financing'!B43</f>
        <v>Loan1</v>
      </c>
      <c r="F11" s="133"/>
      <c r="G11" s="187"/>
      <c r="H11" s="85"/>
      <c r="I11" s="85"/>
      <c r="J11" s="85"/>
      <c r="K11" s="85"/>
      <c r="L11" s="85"/>
      <c r="M11" s="85"/>
      <c r="N11" s="46"/>
      <c r="O11" s="46"/>
      <c r="P11" s="46"/>
    </row>
    <row r="12" spans="1:16" ht="12.75" x14ac:dyDescent="0.2">
      <c r="A12" s="85"/>
      <c r="B12" s="127" t="s">
        <v>273</v>
      </c>
      <c r="C12" s="134"/>
      <c r="D12" s="20">
        <v>400</v>
      </c>
      <c r="E12" s="134" t="str">
        <f>'Projects &amp; Financing'!C43</f>
        <v>Loan2</v>
      </c>
      <c r="F12" s="135"/>
      <c r="G12" s="20"/>
      <c r="H12" s="85"/>
      <c r="I12" s="85"/>
      <c r="J12" s="85"/>
      <c r="K12" s="85"/>
      <c r="L12" s="85"/>
      <c r="M12" s="85"/>
      <c r="N12" s="46"/>
      <c r="O12" s="46"/>
      <c r="P12" s="46"/>
    </row>
    <row r="13" spans="1:16" ht="12.75" x14ac:dyDescent="0.2">
      <c r="A13" s="85"/>
      <c r="B13" s="127" t="s">
        <v>5</v>
      </c>
      <c r="C13" s="134"/>
      <c r="D13" s="20">
        <v>150</v>
      </c>
      <c r="E13" s="134" t="s">
        <v>7</v>
      </c>
      <c r="F13" s="135"/>
      <c r="G13" s="20">
        <v>3600</v>
      </c>
      <c r="H13" s="85"/>
      <c r="I13" s="85"/>
      <c r="J13" s="85"/>
      <c r="K13" s="85"/>
      <c r="L13" s="85"/>
      <c r="M13" s="85"/>
      <c r="N13" s="46"/>
      <c r="O13" s="46"/>
      <c r="P13" s="46"/>
    </row>
    <row r="14" spans="1:16" ht="12.75" x14ac:dyDescent="0.2">
      <c r="A14" s="85"/>
      <c r="B14" s="127" t="s">
        <v>6</v>
      </c>
      <c r="C14" s="190"/>
      <c r="D14" s="20"/>
      <c r="E14" s="132" t="str">
        <f>'Projects &amp; Financing'!D43</f>
        <v>Loan3</v>
      </c>
      <c r="F14" s="133"/>
      <c r="G14" s="20"/>
      <c r="H14" s="85"/>
      <c r="I14" s="85"/>
      <c r="J14" s="85"/>
      <c r="K14" s="85"/>
      <c r="L14" s="85"/>
      <c r="M14" s="85"/>
      <c r="N14" s="46"/>
      <c r="O14" s="46"/>
      <c r="P14" s="46"/>
    </row>
    <row r="15" spans="1:16" ht="12.75" x14ac:dyDescent="0.2">
      <c r="A15" s="85"/>
      <c r="B15" s="127" t="s">
        <v>8</v>
      </c>
      <c r="C15" s="134"/>
      <c r="D15" s="20">
        <v>9100</v>
      </c>
      <c r="E15" s="136" t="s">
        <v>252</v>
      </c>
      <c r="F15" s="133"/>
      <c r="G15" s="263">
        <v>5600</v>
      </c>
      <c r="H15" s="85"/>
      <c r="I15" s="85"/>
      <c r="J15" s="85"/>
      <c r="K15" s="85"/>
      <c r="L15" s="85"/>
      <c r="M15" s="85"/>
      <c r="N15" s="46"/>
      <c r="O15" s="46"/>
      <c r="P15" s="46"/>
    </row>
    <row r="16" spans="1:16" ht="12.75" x14ac:dyDescent="0.2">
      <c r="A16" s="85"/>
      <c r="B16" s="127" t="s">
        <v>249</v>
      </c>
      <c r="C16" s="134"/>
      <c r="D16" s="20"/>
      <c r="E16" s="136" t="s">
        <v>9</v>
      </c>
      <c r="F16" s="133"/>
      <c r="G16" s="20"/>
      <c r="H16" s="85"/>
      <c r="I16" s="85"/>
      <c r="J16" s="85"/>
      <c r="K16" s="85"/>
      <c r="L16" s="85"/>
      <c r="M16" s="85"/>
      <c r="N16" s="46"/>
      <c r="O16" s="46"/>
      <c r="P16" s="46"/>
    </row>
    <row r="17" spans="1:16" ht="12.75" x14ac:dyDescent="0.2">
      <c r="A17" s="85"/>
      <c r="B17" s="127" t="s">
        <v>11</v>
      </c>
      <c r="C17" s="134"/>
      <c r="D17" s="20"/>
      <c r="E17" s="136" t="s">
        <v>10</v>
      </c>
      <c r="F17" s="133"/>
      <c r="G17" s="263">
        <v>1050</v>
      </c>
      <c r="H17" s="85"/>
      <c r="I17" s="85"/>
      <c r="J17" s="85"/>
      <c r="K17" s="85"/>
      <c r="L17" s="85"/>
      <c r="M17" s="85"/>
      <c r="N17" s="46"/>
      <c r="O17" s="46"/>
      <c r="P17" s="46"/>
    </row>
    <row r="18" spans="1:16" ht="13.5" thickBot="1" x14ac:dyDescent="0.25">
      <c r="A18" s="85"/>
      <c r="B18" s="128" t="s">
        <v>251</v>
      </c>
      <c r="C18" s="134"/>
      <c r="D18" s="391"/>
      <c r="E18" s="137" t="s">
        <v>253</v>
      </c>
      <c r="F18" s="138"/>
      <c r="G18" s="26">
        <v>130</v>
      </c>
      <c r="H18" s="85"/>
      <c r="I18" s="85"/>
      <c r="J18" s="85"/>
      <c r="K18" s="85"/>
      <c r="L18" s="85"/>
      <c r="M18" s="85"/>
      <c r="N18" s="46"/>
      <c r="O18" s="46"/>
      <c r="P18" s="46"/>
    </row>
    <row r="19" spans="1:16" ht="12.75" x14ac:dyDescent="0.2">
      <c r="A19" s="85"/>
      <c r="B19" s="192"/>
      <c r="C19" s="193"/>
      <c r="D19" s="264">
        <f>SUM(D9:D17)-D18</f>
        <v>10450</v>
      </c>
      <c r="E19" s="194"/>
      <c r="F19" s="195" t="s">
        <v>12</v>
      </c>
      <c r="G19" s="245">
        <f>SUM(G9:G18)</f>
        <v>10450</v>
      </c>
      <c r="H19" s="85"/>
      <c r="I19" s="85"/>
      <c r="J19" s="85"/>
      <c r="K19" s="85"/>
      <c r="L19" s="85"/>
      <c r="M19" s="85"/>
      <c r="N19" s="46"/>
      <c r="O19" s="46"/>
      <c r="P19" s="46"/>
    </row>
    <row r="20" spans="1:16" ht="13.5" thickBot="1" x14ac:dyDescent="0.25">
      <c r="A20" s="85"/>
      <c r="B20" s="129"/>
      <c r="C20" s="110"/>
      <c r="D20" s="130"/>
      <c r="E20" s="196"/>
      <c r="F20" s="197"/>
      <c r="G20" s="130"/>
      <c r="H20" s="85"/>
      <c r="I20" s="85"/>
      <c r="J20" s="85"/>
      <c r="K20" s="85"/>
      <c r="L20" s="85"/>
      <c r="M20" s="85"/>
      <c r="N20" s="46"/>
      <c r="O20" s="46"/>
      <c r="P20" s="46"/>
    </row>
    <row r="21" spans="1:16" x14ac:dyDescent="0.15">
      <c r="A21" s="85"/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46"/>
      <c r="O21" s="46"/>
      <c r="P21" s="46"/>
    </row>
    <row r="22" spans="1:16" ht="12.75" x14ac:dyDescent="0.2">
      <c r="A22" s="85"/>
      <c r="B22" s="307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46"/>
      <c r="O22" s="46"/>
      <c r="P22" s="46"/>
    </row>
    <row r="23" spans="1:16" x14ac:dyDescent="0.15">
      <c r="A23" s="85"/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46"/>
      <c r="O23" s="46"/>
      <c r="P23" s="46"/>
    </row>
    <row r="24" spans="1:16" x14ac:dyDescent="0.15">
      <c r="A24" s="85"/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46"/>
      <c r="O24" s="46"/>
      <c r="P24" s="46"/>
    </row>
    <row r="25" spans="1:16" ht="12.75" customHeight="1" x14ac:dyDescent="0.15">
      <c r="A25" s="85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46"/>
      <c r="O25" s="46"/>
      <c r="P25" s="46"/>
    </row>
    <row r="26" spans="1:16" x14ac:dyDescent="0.15">
      <c r="A26" s="85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46"/>
      <c r="O26" s="46"/>
      <c r="P26" s="46"/>
    </row>
    <row r="27" spans="1:16" x14ac:dyDescent="0.15">
      <c r="A27" s="85"/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46"/>
      <c r="O27" s="46"/>
      <c r="P27" s="46"/>
    </row>
    <row r="28" spans="1:16" x14ac:dyDescent="0.15">
      <c r="A28" s="85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46"/>
      <c r="O28" s="46"/>
      <c r="P28" s="46"/>
    </row>
    <row r="29" spans="1:16" x14ac:dyDescent="0.15">
      <c r="A29" s="85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46"/>
      <c r="O29" s="46"/>
      <c r="P29" s="46"/>
    </row>
    <row r="30" spans="1:16" x14ac:dyDescent="0.15">
      <c r="A30" s="85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46"/>
      <c r="O30" s="46"/>
      <c r="P30" s="46"/>
    </row>
    <row r="31" spans="1:16" x14ac:dyDescent="0.15">
      <c r="A31" s="85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46"/>
      <c r="O31" s="46"/>
      <c r="P31" s="46"/>
    </row>
    <row r="32" spans="1:16" x14ac:dyDescent="0.15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46"/>
      <c r="O32" s="46"/>
      <c r="P32" s="46"/>
    </row>
    <row r="33" spans="1:16" x14ac:dyDescent="0.15">
      <c r="A33" s="85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46"/>
      <c r="O33" s="46"/>
      <c r="P33" s="46"/>
    </row>
    <row r="34" spans="1:16" x14ac:dyDescent="0.15">
      <c r="A34" s="85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46"/>
      <c r="O34" s="46"/>
      <c r="P34" s="46"/>
    </row>
    <row r="35" spans="1:16" x14ac:dyDescent="0.15">
      <c r="A35" s="85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46"/>
      <c r="O35" s="46"/>
      <c r="P35" s="46"/>
    </row>
    <row r="36" spans="1:16" x14ac:dyDescent="0.15">
      <c r="A36" s="85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46"/>
      <c r="O36" s="46"/>
      <c r="P36" s="46"/>
    </row>
    <row r="37" spans="1:16" x14ac:dyDescent="0.15">
      <c r="A37" s="85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46"/>
      <c r="O37" s="46"/>
      <c r="P37" s="46"/>
    </row>
    <row r="38" spans="1:16" x14ac:dyDescent="0.15">
      <c r="A38" s="85"/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46"/>
      <c r="O38" s="46"/>
      <c r="P38" s="46"/>
    </row>
    <row r="39" spans="1:16" x14ac:dyDescent="0.15">
      <c r="A39" s="85"/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46"/>
      <c r="O39" s="46"/>
      <c r="P39" s="46"/>
    </row>
    <row r="40" spans="1:16" x14ac:dyDescent="0.15">
      <c r="A40" s="85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46"/>
      <c r="O40" s="46"/>
      <c r="P40" s="46"/>
    </row>
    <row r="41" spans="1:16" x14ac:dyDescent="0.15">
      <c r="A41" s="85"/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46"/>
      <c r="O41" s="46"/>
      <c r="P41" s="46"/>
    </row>
    <row r="42" spans="1:16" x14ac:dyDescent="0.15">
      <c r="A42" s="85"/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46"/>
      <c r="O42" s="46"/>
      <c r="P42" s="46"/>
    </row>
    <row r="43" spans="1:16" x14ac:dyDescent="0.15">
      <c r="A43" s="85"/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46"/>
      <c r="O43" s="46"/>
      <c r="P43" s="46"/>
    </row>
    <row r="44" spans="1:16" x14ac:dyDescent="0.15">
      <c r="A44" s="85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46"/>
      <c r="O44" s="46"/>
      <c r="P44" s="46"/>
    </row>
    <row r="45" spans="1:16" x14ac:dyDescent="0.15">
      <c r="A45" s="85"/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46"/>
      <c r="O45" s="46"/>
      <c r="P45" s="46"/>
    </row>
    <row r="46" spans="1:16" x14ac:dyDescent="0.15">
      <c r="A46" s="85"/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46"/>
      <c r="O46" s="46"/>
      <c r="P46" s="46"/>
    </row>
    <row r="47" spans="1:16" x14ac:dyDescent="0.15">
      <c r="A47" s="85"/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46"/>
      <c r="O47" s="46"/>
      <c r="P47" s="46"/>
    </row>
    <row r="48" spans="1:16" x14ac:dyDescent="0.15">
      <c r="A48" s="85"/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46"/>
      <c r="O48" s="46"/>
      <c r="P48" s="46"/>
    </row>
    <row r="49" spans="1:16" x14ac:dyDescent="0.15">
      <c r="A49" s="85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46"/>
      <c r="O49" s="46"/>
      <c r="P49" s="46"/>
    </row>
    <row r="50" spans="1:16" x14ac:dyDescent="0.15">
      <c r="A50" s="85"/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46"/>
      <c r="O50" s="46"/>
      <c r="P50" s="46"/>
    </row>
    <row r="51" spans="1:16" x14ac:dyDescent="0.15">
      <c r="A51" s="85"/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46"/>
      <c r="O51" s="46"/>
      <c r="P51" s="46"/>
    </row>
    <row r="52" spans="1:16" x14ac:dyDescent="0.15">
      <c r="A52" s="85"/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46"/>
      <c r="O52" s="46"/>
      <c r="P52" s="46"/>
    </row>
    <row r="53" spans="1:16" x14ac:dyDescent="0.15">
      <c r="A53" s="85"/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46"/>
      <c r="O53" s="46"/>
      <c r="P53" s="46"/>
    </row>
    <row r="54" spans="1:16" x14ac:dyDescent="0.15">
      <c r="A54" s="85"/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46"/>
      <c r="O54" s="46"/>
      <c r="P54" s="46"/>
    </row>
    <row r="55" spans="1:16" x14ac:dyDescent="0.15">
      <c r="A55" s="85"/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46"/>
      <c r="O55" s="46"/>
      <c r="P55" s="46"/>
    </row>
    <row r="56" spans="1:16" x14ac:dyDescent="0.15">
      <c r="A56" s="85"/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</row>
    <row r="57" spans="1:16" x14ac:dyDescent="0.15">
      <c r="A57" s="85"/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</row>
    <row r="58" spans="1:16" x14ac:dyDescent="0.15">
      <c r="A58" s="85"/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</row>
    <row r="59" spans="1:16" x14ac:dyDescent="0.15">
      <c r="A59" s="46"/>
      <c r="B59" s="46"/>
      <c r="C59" s="46"/>
      <c r="D59" s="46"/>
      <c r="E59" s="46"/>
      <c r="F59" s="46"/>
      <c r="G59" s="46"/>
      <c r="H59" s="46"/>
    </row>
    <row r="60" spans="1:16" x14ac:dyDescent="0.15">
      <c r="A60" s="46"/>
      <c r="B60" s="46"/>
      <c r="C60" s="46"/>
      <c r="D60" s="46"/>
      <c r="E60" s="46"/>
      <c r="F60" s="46"/>
      <c r="G60" s="46"/>
      <c r="H60" s="46"/>
    </row>
    <row r="61" spans="1:16" x14ac:dyDescent="0.15">
      <c r="A61" s="46"/>
      <c r="B61" s="46"/>
      <c r="C61" s="46"/>
      <c r="D61" s="46"/>
      <c r="E61" s="46"/>
      <c r="F61" s="46"/>
      <c r="G61" s="46"/>
      <c r="H61" s="46"/>
    </row>
    <row r="62" spans="1:16" x14ac:dyDescent="0.15">
      <c r="A62" s="46"/>
      <c r="B62" s="46"/>
      <c r="C62" s="46"/>
      <c r="D62" s="46"/>
      <c r="E62" s="46"/>
      <c r="F62" s="46"/>
      <c r="G62" s="46"/>
      <c r="H62" s="46"/>
    </row>
    <row r="63" spans="1:16" x14ac:dyDescent="0.15">
      <c r="A63" s="46"/>
      <c r="B63" s="46"/>
      <c r="C63" s="46"/>
      <c r="D63" s="46"/>
      <c r="E63" s="46"/>
      <c r="F63" s="46"/>
      <c r="G63" s="46"/>
      <c r="H63" s="46"/>
    </row>
    <row r="64" spans="1:16" x14ac:dyDescent="0.15">
      <c r="A64" s="46"/>
      <c r="B64" s="46"/>
      <c r="C64" s="46"/>
      <c r="D64" s="46"/>
      <c r="E64" s="46"/>
      <c r="F64" s="46"/>
      <c r="G64" s="46"/>
      <c r="H64" s="46"/>
    </row>
    <row r="65" spans="1:8" x14ac:dyDescent="0.15">
      <c r="A65" s="46"/>
      <c r="B65" s="46"/>
      <c r="C65" s="46"/>
      <c r="D65" s="46"/>
      <c r="E65" s="46"/>
      <c r="F65" s="46"/>
      <c r="G65" s="46"/>
      <c r="H65" s="46"/>
    </row>
    <row r="66" spans="1:8" x14ac:dyDescent="0.15">
      <c r="A66" s="46"/>
      <c r="B66" s="46"/>
      <c r="C66" s="46"/>
      <c r="D66" s="46"/>
      <c r="E66" s="46"/>
      <c r="F66" s="46"/>
      <c r="G66" s="46"/>
      <c r="H66" s="46"/>
    </row>
    <row r="67" spans="1:8" x14ac:dyDescent="0.15">
      <c r="A67" s="46"/>
      <c r="B67" s="46"/>
      <c r="C67" s="46"/>
      <c r="D67" s="46"/>
      <c r="E67" s="46"/>
      <c r="F67" s="46"/>
      <c r="G67" s="46"/>
      <c r="H67" s="46"/>
    </row>
    <row r="68" spans="1:8" x14ac:dyDescent="0.15">
      <c r="A68" s="46"/>
      <c r="B68" s="46"/>
      <c r="C68" s="46"/>
      <c r="D68" s="46"/>
      <c r="E68" s="46"/>
      <c r="F68" s="46"/>
      <c r="G68" s="46"/>
      <c r="H68" s="46"/>
    </row>
    <row r="69" spans="1:8" x14ac:dyDescent="0.15">
      <c r="A69" s="46"/>
      <c r="B69" s="46"/>
      <c r="C69" s="46"/>
      <c r="D69" s="46"/>
      <c r="E69" s="46"/>
      <c r="F69" s="46"/>
      <c r="G69" s="46"/>
      <c r="H69" s="46"/>
    </row>
    <row r="70" spans="1:8" x14ac:dyDescent="0.15">
      <c r="A70" s="46"/>
      <c r="B70" s="46"/>
      <c r="C70" s="46"/>
      <c r="D70" s="46"/>
      <c r="E70" s="46"/>
      <c r="F70" s="46"/>
      <c r="G70" s="46"/>
      <c r="H70" s="46"/>
    </row>
    <row r="71" spans="1:8" x14ac:dyDescent="0.15">
      <c r="A71" s="46"/>
      <c r="B71" s="46"/>
      <c r="C71" s="46"/>
      <c r="D71" s="46"/>
      <c r="E71" s="46"/>
      <c r="F71" s="46"/>
      <c r="G71" s="46"/>
      <c r="H71" s="46"/>
    </row>
    <row r="72" spans="1:8" x14ac:dyDescent="0.15">
      <c r="A72" s="46"/>
      <c r="B72" s="46"/>
      <c r="C72" s="46"/>
      <c r="D72" s="46"/>
      <c r="E72" s="46"/>
      <c r="F72" s="46"/>
      <c r="G72" s="46"/>
      <c r="H72" s="46"/>
    </row>
    <row r="73" spans="1:8" x14ac:dyDescent="0.15">
      <c r="A73" s="46"/>
      <c r="B73" s="46"/>
      <c r="C73" s="46"/>
      <c r="D73" s="46"/>
      <c r="E73" s="46"/>
      <c r="F73" s="46"/>
      <c r="G73" s="46"/>
      <c r="H73" s="46"/>
    </row>
    <row r="74" spans="1:8" x14ac:dyDescent="0.15">
      <c r="A74" s="46"/>
      <c r="B74" s="46"/>
      <c r="C74" s="46"/>
      <c r="D74" s="46"/>
      <c r="E74" s="46"/>
      <c r="F74" s="46"/>
      <c r="G74" s="46"/>
      <c r="H74" s="46"/>
    </row>
    <row r="75" spans="1:8" x14ac:dyDescent="0.15">
      <c r="A75" s="46"/>
      <c r="B75" s="46"/>
      <c r="C75" s="46"/>
      <c r="D75" s="46"/>
      <c r="E75" s="46"/>
      <c r="F75" s="46"/>
      <c r="G75" s="46"/>
      <c r="H75" s="46"/>
    </row>
    <row r="76" spans="1:8" x14ac:dyDescent="0.15">
      <c r="A76" s="46"/>
      <c r="B76" s="46"/>
      <c r="C76" s="46"/>
      <c r="D76" s="46"/>
      <c r="E76" s="46"/>
      <c r="F76" s="46"/>
      <c r="G76" s="46"/>
      <c r="H76" s="46"/>
    </row>
    <row r="77" spans="1:8" x14ac:dyDescent="0.15">
      <c r="A77" s="46"/>
      <c r="B77" s="46"/>
      <c r="C77" s="46"/>
      <c r="D77" s="46"/>
      <c r="E77" s="46"/>
      <c r="F77" s="46"/>
      <c r="G77" s="46"/>
      <c r="H77" s="46"/>
    </row>
    <row r="78" spans="1:8" x14ac:dyDescent="0.15">
      <c r="A78" s="46"/>
      <c r="B78" s="46"/>
      <c r="C78" s="46"/>
      <c r="D78" s="46"/>
      <c r="E78" s="46"/>
      <c r="F78" s="46"/>
      <c r="G78" s="46"/>
      <c r="H78" s="46"/>
    </row>
    <row r="79" spans="1:8" x14ac:dyDescent="0.15">
      <c r="A79" s="46"/>
      <c r="B79" s="46"/>
      <c r="C79" s="46"/>
      <c r="D79" s="46"/>
      <c r="E79" s="46"/>
      <c r="F79" s="46"/>
      <c r="G79" s="46"/>
      <c r="H79" s="46"/>
    </row>
    <row r="80" spans="1:8" x14ac:dyDescent="0.15">
      <c r="A80" s="46"/>
      <c r="B80" s="46"/>
      <c r="C80" s="46"/>
      <c r="D80" s="46"/>
      <c r="E80" s="46"/>
      <c r="F80" s="46"/>
      <c r="G80" s="46"/>
      <c r="H80" s="46"/>
    </row>
    <row r="81" spans="1:8" x14ac:dyDescent="0.15">
      <c r="A81" s="46"/>
      <c r="B81" s="46"/>
      <c r="C81" s="46"/>
      <c r="D81" s="46"/>
      <c r="E81" s="46"/>
      <c r="F81" s="46"/>
      <c r="G81" s="46"/>
      <c r="H81" s="46"/>
    </row>
    <row r="82" spans="1:8" x14ac:dyDescent="0.15">
      <c r="A82" s="46"/>
      <c r="B82" s="46"/>
      <c r="C82" s="46"/>
      <c r="D82" s="46"/>
      <c r="E82" s="46"/>
      <c r="F82" s="46"/>
      <c r="G82" s="46"/>
      <c r="H82" s="46"/>
    </row>
    <row r="83" spans="1:8" x14ac:dyDescent="0.15">
      <c r="A83" s="46"/>
      <c r="B83" s="46"/>
      <c r="C83" s="46"/>
      <c r="D83" s="46"/>
      <c r="E83" s="46"/>
      <c r="F83" s="46"/>
      <c r="G83" s="46"/>
      <c r="H83" s="46"/>
    </row>
    <row r="84" spans="1:8" x14ac:dyDescent="0.15">
      <c r="A84" s="46"/>
      <c r="B84" s="46"/>
      <c r="C84" s="46"/>
      <c r="D84" s="46"/>
      <c r="E84" s="46"/>
      <c r="F84" s="46"/>
      <c r="G84" s="46"/>
      <c r="H84" s="46"/>
    </row>
    <row r="85" spans="1:8" x14ac:dyDescent="0.15">
      <c r="A85" s="46"/>
      <c r="B85" s="46"/>
      <c r="C85" s="46"/>
      <c r="D85" s="46"/>
      <c r="E85" s="46"/>
      <c r="F85" s="46"/>
      <c r="G85" s="46"/>
      <c r="H85" s="46"/>
    </row>
    <row r="86" spans="1:8" x14ac:dyDescent="0.15">
      <c r="A86" s="46"/>
      <c r="B86" s="46"/>
      <c r="C86" s="46"/>
      <c r="D86" s="46"/>
      <c r="E86" s="46"/>
      <c r="F86" s="46"/>
      <c r="G86" s="46"/>
      <c r="H86" s="46"/>
    </row>
    <row r="87" spans="1:8" x14ac:dyDescent="0.15">
      <c r="A87" s="46"/>
      <c r="B87" s="46"/>
      <c r="C87" s="46"/>
      <c r="D87" s="46"/>
      <c r="E87" s="46"/>
      <c r="F87" s="46"/>
      <c r="G87" s="46"/>
      <c r="H87" s="46"/>
    </row>
    <row r="88" spans="1:8" x14ac:dyDescent="0.15">
      <c r="A88" s="46"/>
      <c r="B88" s="46"/>
      <c r="C88" s="46"/>
      <c r="D88" s="46"/>
      <c r="E88" s="46"/>
      <c r="F88" s="46"/>
      <c r="G88" s="46"/>
      <c r="H88" s="46"/>
    </row>
    <row r="89" spans="1:8" x14ac:dyDescent="0.15">
      <c r="A89" s="46"/>
      <c r="B89" s="46"/>
      <c r="C89" s="46"/>
      <c r="D89" s="46"/>
      <c r="E89" s="46"/>
      <c r="F89" s="46"/>
      <c r="G89" s="46"/>
      <c r="H89" s="46"/>
    </row>
    <row r="90" spans="1:8" x14ac:dyDescent="0.15">
      <c r="A90" s="46"/>
      <c r="B90" s="46"/>
      <c r="C90" s="46"/>
      <c r="D90" s="46"/>
      <c r="E90" s="46"/>
      <c r="F90" s="46"/>
      <c r="G90" s="46"/>
      <c r="H90" s="46"/>
    </row>
    <row r="91" spans="1:8" x14ac:dyDescent="0.15">
      <c r="A91" s="46"/>
      <c r="B91" s="46"/>
      <c r="C91" s="46"/>
      <c r="D91" s="46"/>
      <c r="E91" s="46"/>
      <c r="F91" s="46"/>
      <c r="G91" s="46"/>
      <c r="H91" s="46"/>
    </row>
    <row r="92" spans="1:8" x14ac:dyDescent="0.15">
      <c r="A92" s="46"/>
      <c r="B92" s="46"/>
      <c r="C92" s="46"/>
      <c r="D92" s="46"/>
      <c r="E92" s="46"/>
      <c r="F92" s="46"/>
      <c r="G92" s="46"/>
      <c r="H92" s="46"/>
    </row>
    <row r="93" spans="1:8" x14ac:dyDescent="0.15">
      <c r="A93" s="46"/>
      <c r="B93" s="46"/>
      <c r="C93" s="46"/>
      <c r="D93" s="46"/>
      <c r="E93" s="46"/>
      <c r="F93" s="46"/>
      <c r="G93" s="46"/>
      <c r="H93" s="46"/>
    </row>
    <row r="94" spans="1:8" x14ac:dyDescent="0.15">
      <c r="A94" s="46"/>
      <c r="B94" s="46"/>
      <c r="C94" s="46"/>
      <c r="D94" s="46"/>
      <c r="E94" s="46"/>
      <c r="F94" s="46"/>
      <c r="G94" s="46"/>
      <c r="H94" s="46"/>
    </row>
    <row r="95" spans="1:8" x14ac:dyDescent="0.15">
      <c r="A95" s="46"/>
      <c r="B95" s="46"/>
      <c r="C95" s="46"/>
      <c r="D95" s="46"/>
      <c r="E95" s="46"/>
      <c r="F95" s="46"/>
      <c r="G95" s="46"/>
      <c r="H95" s="46"/>
    </row>
    <row r="96" spans="1:8" x14ac:dyDescent="0.15">
      <c r="A96" s="46"/>
      <c r="B96" s="46"/>
      <c r="C96" s="46"/>
      <c r="D96" s="46"/>
      <c r="E96" s="46"/>
      <c r="F96" s="46"/>
      <c r="G96" s="46"/>
      <c r="H96" s="46"/>
    </row>
    <row r="97" spans="1:8" x14ac:dyDescent="0.15">
      <c r="A97" s="46"/>
      <c r="B97" s="46"/>
      <c r="C97" s="46"/>
      <c r="D97" s="46"/>
      <c r="E97" s="46"/>
      <c r="F97" s="46"/>
      <c r="G97" s="46"/>
      <c r="H97" s="46"/>
    </row>
    <row r="98" spans="1:8" x14ac:dyDescent="0.15">
      <c r="A98" s="46"/>
      <c r="B98" s="46"/>
      <c r="C98" s="46"/>
      <c r="D98" s="46"/>
      <c r="E98" s="46"/>
      <c r="F98" s="46"/>
      <c r="G98" s="46"/>
      <c r="H98" s="46"/>
    </row>
    <row r="99" spans="1:8" x14ac:dyDescent="0.15">
      <c r="A99" s="46"/>
      <c r="B99" s="46"/>
      <c r="C99" s="46"/>
      <c r="D99" s="46"/>
      <c r="E99" s="46"/>
      <c r="F99" s="46"/>
      <c r="G99" s="46"/>
      <c r="H99" s="46"/>
    </row>
    <row r="100" spans="1:8" x14ac:dyDescent="0.15">
      <c r="A100" s="46"/>
      <c r="B100" s="46"/>
      <c r="C100" s="46"/>
      <c r="D100" s="46"/>
      <c r="E100" s="46"/>
      <c r="F100" s="46"/>
      <c r="G100" s="46"/>
      <c r="H100" s="46"/>
    </row>
    <row r="101" spans="1:8" x14ac:dyDescent="0.15">
      <c r="A101" s="46"/>
      <c r="B101" s="46"/>
      <c r="C101" s="46"/>
      <c r="D101" s="46"/>
      <c r="E101" s="46"/>
      <c r="F101" s="46"/>
      <c r="G101" s="46"/>
      <c r="H101" s="46"/>
    </row>
    <row r="102" spans="1:8" x14ac:dyDescent="0.15">
      <c r="A102" s="46"/>
      <c r="B102" s="46"/>
      <c r="C102" s="46"/>
      <c r="D102" s="46"/>
      <c r="E102" s="46"/>
      <c r="F102" s="46"/>
      <c r="G102" s="46"/>
      <c r="H102" s="46"/>
    </row>
    <row r="103" spans="1:8" x14ac:dyDescent="0.15">
      <c r="A103" s="46"/>
      <c r="B103" s="46"/>
      <c r="C103" s="46"/>
      <c r="D103" s="46"/>
      <c r="E103" s="46"/>
      <c r="F103" s="46"/>
      <c r="G103" s="46"/>
      <c r="H103" s="46"/>
    </row>
    <row r="104" spans="1:8" x14ac:dyDescent="0.15">
      <c r="A104" s="46"/>
      <c r="B104" s="46"/>
      <c r="C104" s="46"/>
      <c r="D104" s="46"/>
      <c r="E104" s="46"/>
      <c r="F104" s="46"/>
      <c r="G104" s="46"/>
      <c r="H104" s="46"/>
    </row>
    <row r="105" spans="1:8" x14ac:dyDescent="0.15">
      <c r="A105" s="46"/>
      <c r="B105" s="46"/>
      <c r="C105" s="46"/>
      <c r="D105" s="46"/>
      <c r="E105" s="46"/>
      <c r="F105" s="46"/>
      <c r="G105" s="46"/>
      <c r="H105" s="46"/>
    </row>
    <row r="106" spans="1:8" x14ac:dyDescent="0.15">
      <c r="A106" s="46"/>
      <c r="B106" s="46"/>
      <c r="C106" s="46"/>
      <c r="D106" s="46"/>
      <c r="E106" s="46"/>
      <c r="F106" s="46"/>
      <c r="G106" s="46"/>
      <c r="H106" s="46"/>
    </row>
    <row r="107" spans="1:8" x14ac:dyDescent="0.15">
      <c r="A107" s="46"/>
      <c r="B107" s="46"/>
      <c r="C107" s="46"/>
      <c r="D107" s="46"/>
      <c r="E107" s="46"/>
      <c r="F107" s="46"/>
      <c r="G107" s="46"/>
      <c r="H107" s="46"/>
    </row>
    <row r="108" spans="1:8" x14ac:dyDescent="0.15">
      <c r="A108" s="46"/>
      <c r="B108" s="46"/>
      <c r="C108" s="46"/>
      <c r="D108" s="46"/>
      <c r="E108" s="46"/>
      <c r="F108" s="46"/>
      <c r="G108" s="46"/>
      <c r="H108" s="46"/>
    </row>
    <row r="109" spans="1:8" x14ac:dyDescent="0.15">
      <c r="A109" s="46"/>
      <c r="B109" s="46"/>
      <c r="C109" s="46"/>
      <c r="D109" s="46"/>
      <c r="E109" s="46"/>
      <c r="F109" s="46"/>
      <c r="G109" s="46"/>
      <c r="H109" s="46"/>
    </row>
    <row r="110" spans="1:8" x14ac:dyDescent="0.15">
      <c r="A110" s="46"/>
      <c r="B110" s="46"/>
      <c r="C110" s="46"/>
      <c r="D110" s="46"/>
      <c r="E110" s="46"/>
      <c r="F110" s="46"/>
      <c r="G110" s="46"/>
      <c r="H110" s="46"/>
    </row>
    <row r="111" spans="1:8" x14ac:dyDescent="0.15">
      <c r="A111" s="46"/>
      <c r="B111" s="46"/>
      <c r="C111" s="46"/>
      <c r="D111" s="46"/>
      <c r="E111" s="46"/>
      <c r="F111" s="46"/>
      <c r="G111" s="46"/>
      <c r="H111" s="46"/>
    </row>
    <row r="112" spans="1:8" x14ac:dyDescent="0.15">
      <c r="A112" s="46"/>
      <c r="B112" s="46"/>
      <c r="C112" s="46"/>
      <c r="D112" s="46"/>
      <c r="E112" s="46"/>
      <c r="F112" s="46"/>
      <c r="G112" s="46"/>
      <c r="H112" s="46"/>
    </row>
    <row r="113" spans="1:8" x14ac:dyDescent="0.15">
      <c r="A113" s="46"/>
      <c r="B113" s="46"/>
      <c r="C113" s="46"/>
      <c r="D113" s="46"/>
      <c r="E113" s="46"/>
      <c r="F113" s="46"/>
      <c r="G113" s="46"/>
      <c r="H113" s="46"/>
    </row>
    <row r="114" spans="1:8" x14ac:dyDescent="0.15">
      <c r="A114" s="46"/>
      <c r="B114" s="46"/>
      <c r="C114" s="46"/>
      <c r="D114" s="46"/>
      <c r="E114" s="46"/>
      <c r="F114" s="46"/>
      <c r="G114" s="46"/>
      <c r="H114" s="46"/>
    </row>
    <row r="115" spans="1:8" x14ac:dyDescent="0.15">
      <c r="A115" s="46"/>
      <c r="B115" s="46"/>
      <c r="C115" s="46"/>
      <c r="D115" s="46"/>
      <c r="E115" s="46"/>
      <c r="F115" s="46"/>
      <c r="G115" s="46"/>
      <c r="H115" s="46"/>
    </row>
    <row r="116" spans="1:8" x14ac:dyDescent="0.15">
      <c r="A116" s="46"/>
      <c r="B116" s="46"/>
      <c r="C116" s="46"/>
      <c r="D116" s="46"/>
      <c r="E116" s="46"/>
      <c r="F116" s="46"/>
      <c r="G116" s="46"/>
      <c r="H116" s="46"/>
    </row>
    <row r="117" spans="1:8" x14ac:dyDescent="0.15">
      <c r="A117" s="46"/>
      <c r="B117" s="46"/>
      <c r="C117" s="46"/>
      <c r="D117" s="46"/>
      <c r="E117" s="46"/>
      <c r="F117" s="46"/>
      <c r="G117" s="46"/>
      <c r="H117" s="46"/>
    </row>
    <row r="118" spans="1:8" x14ac:dyDescent="0.15">
      <c r="A118" s="46"/>
      <c r="B118" s="46"/>
      <c r="C118" s="46"/>
      <c r="D118" s="46"/>
      <c r="E118" s="46"/>
      <c r="F118" s="46"/>
      <c r="G118" s="46"/>
      <c r="H118" s="46"/>
    </row>
    <row r="119" spans="1:8" x14ac:dyDescent="0.15">
      <c r="A119" s="46"/>
      <c r="B119" s="46"/>
      <c r="C119" s="46"/>
      <c r="D119" s="46"/>
      <c r="E119" s="46"/>
      <c r="F119" s="46"/>
      <c r="G119" s="46"/>
      <c r="H119" s="46"/>
    </row>
    <row r="120" spans="1:8" x14ac:dyDescent="0.15">
      <c r="A120" s="46"/>
      <c r="B120" s="46"/>
      <c r="C120" s="46"/>
      <c r="D120" s="46"/>
      <c r="E120" s="46"/>
      <c r="F120" s="46"/>
      <c r="G120" s="46"/>
      <c r="H120" s="46"/>
    </row>
    <row r="121" spans="1:8" x14ac:dyDescent="0.15">
      <c r="A121" s="46"/>
      <c r="B121" s="46"/>
      <c r="C121" s="46"/>
      <c r="D121" s="46"/>
      <c r="E121" s="46"/>
      <c r="F121" s="46"/>
      <c r="G121" s="46"/>
      <c r="H121" s="46"/>
    </row>
    <row r="122" spans="1:8" x14ac:dyDescent="0.15">
      <c r="A122" s="46"/>
      <c r="B122" s="46"/>
      <c r="C122" s="46"/>
      <c r="D122" s="46"/>
      <c r="E122" s="46"/>
      <c r="F122" s="46"/>
      <c r="G122" s="46"/>
      <c r="H122" s="46"/>
    </row>
    <row r="123" spans="1:8" x14ac:dyDescent="0.15">
      <c r="A123" s="46"/>
      <c r="B123" s="46"/>
      <c r="C123" s="46"/>
      <c r="D123" s="46"/>
      <c r="E123" s="46"/>
      <c r="F123" s="46"/>
      <c r="G123" s="46"/>
      <c r="H123" s="46"/>
    </row>
    <row r="124" spans="1:8" x14ac:dyDescent="0.15">
      <c r="A124" s="46"/>
      <c r="B124" s="46"/>
      <c r="C124" s="46"/>
      <c r="D124" s="46"/>
      <c r="E124" s="46"/>
      <c r="F124" s="46"/>
      <c r="G124" s="46"/>
      <c r="H124" s="46"/>
    </row>
    <row r="125" spans="1:8" x14ac:dyDescent="0.15">
      <c r="A125" s="46"/>
      <c r="B125" s="46"/>
      <c r="C125" s="46"/>
      <c r="D125" s="46"/>
      <c r="E125" s="46"/>
      <c r="F125" s="46"/>
      <c r="G125" s="46"/>
      <c r="H125" s="46"/>
    </row>
    <row r="126" spans="1:8" x14ac:dyDescent="0.15">
      <c r="A126" s="46"/>
      <c r="B126" s="46"/>
      <c r="C126" s="46"/>
      <c r="D126" s="46"/>
      <c r="E126" s="46"/>
      <c r="F126" s="46"/>
      <c r="G126" s="46"/>
      <c r="H126" s="46"/>
    </row>
    <row r="127" spans="1:8" x14ac:dyDescent="0.15">
      <c r="A127" s="46"/>
      <c r="B127" s="46"/>
      <c r="C127" s="46"/>
      <c r="D127" s="46"/>
      <c r="E127" s="46"/>
      <c r="F127" s="46"/>
      <c r="G127" s="46"/>
      <c r="H127" s="46"/>
    </row>
    <row r="128" spans="1:8" x14ac:dyDescent="0.15">
      <c r="A128" s="46"/>
      <c r="B128" s="46"/>
      <c r="C128" s="46"/>
      <c r="D128" s="46"/>
      <c r="E128" s="46"/>
      <c r="F128" s="46"/>
      <c r="G128" s="46"/>
      <c r="H128" s="46"/>
    </row>
    <row r="129" spans="1:8" x14ac:dyDescent="0.15">
      <c r="A129" s="46"/>
      <c r="B129" s="46"/>
      <c r="C129" s="46"/>
      <c r="D129" s="46"/>
      <c r="E129" s="46"/>
      <c r="F129" s="46"/>
      <c r="G129" s="46"/>
      <c r="H129" s="46"/>
    </row>
    <row r="130" spans="1:8" x14ac:dyDescent="0.15">
      <c r="A130" s="46"/>
      <c r="B130" s="46"/>
      <c r="C130" s="46"/>
      <c r="D130" s="46"/>
      <c r="E130" s="46"/>
      <c r="F130" s="46"/>
      <c r="G130" s="46"/>
      <c r="H130" s="46"/>
    </row>
    <row r="131" spans="1:8" x14ac:dyDescent="0.15">
      <c r="A131" s="46"/>
      <c r="B131" s="46"/>
      <c r="C131" s="46"/>
      <c r="D131" s="46"/>
      <c r="E131" s="46"/>
      <c r="F131" s="46"/>
      <c r="G131" s="46"/>
      <c r="H131" s="46"/>
    </row>
    <row r="132" spans="1:8" x14ac:dyDescent="0.15">
      <c r="A132" s="46"/>
      <c r="B132" s="46"/>
      <c r="C132" s="46"/>
      <c r="D132" s="46"/>
      <c r="E132" s="46"/>
      <c r="F132" s="46"/>
      <c r="G132" s="46"/>
      <c r="H132" s="46"/>
    </row>
    <row r="133" spans="1:8" x14ac:dyDescent="0.15">
      <c r="A133" s="46"/>
      <c r="B133" s="46"/>
      <c r="C133" s="46"/>
      <c r="D133" s="46"/>
      <c r="E133" s="46"/>
      <c r="F133" s="46"/>
      <c r="G133" s="46"/>
      <c r="H133" s="46"/>
    </row>
    <row r="134" spans="1:8" x14ac:dyDescent="0.15">
      <c r="A134" s="46"/>
      <c r="B134" s="46"/>
      <c r="C134" s="46"/>
      <c r="D134" s="46"/>
      <c r="E134" s="46"/>
      <c r="F134" s="46"/>
      <c r="G134" s="46"/>
      <c r="H134" s="46"/>
    </row>
    <row r="135" spans="1:8" x14ac:dyDescent="0.15">
      <c r="A135" s="46"/>
      <c r="B135" s="46"/>
      <c r="C135" s="46"/>
      <c r="D135" s="46"/>
      <c r="E135" s="46"/>
      <c r="F135" s="46"/>
      <c r="G135" s="46"/>
      <c r="H135" s="46"/>
    </row>
    <row r="136" spans="1:8" x14ac:dyDescent="0.15">
      <c r="A136" s="46"/>
      <c r="B136" s="46"/>
      <c r="C136" s="46"/>
      <c r="D136" s="46"/>
      <c r="E136" s="46"/>
      <c r="F136" s="46"/>
      <c r="G136" s="46"/>
      <c r="H136" s="46"/>
    </row>
    <row r="137" spans="1:8" x14ac:dyDescent="0.15">
      <c r="A137" s="46"/>
      <c r="B137" s="46"/>
      <c r="C137" s="46"/>
      <c r="D137" s="46"/>
      <c r="E137" s="46"/>
      <c r="F137" s="46"/>
      <c r="G137" s="46"/>
      <c r="H137" s="46"/>
    </row>
    <row r="138" spans="1:8" x14ac:dyDescent="0.15">
      <c r="A138" s="46"/>
      <c r="B138" s="46"/>
      <c r="C138" s="46"/>
      <c r="D138" s="46"/>
      <c r="E138" s="46"/>
      <c r="F138" s="46"/>
      <c r="G138" s="46"/>
      <c r="H138" s="46"/>
    </row>
    <row r="139" spans="1:8" x14ac:dyDescent="0.15">
      <c r="A139" s="46"/>
      <c r="B139" s="46"/>
      <c r="C139" s="46"/>
      <c r="D139" s="46"/>
      <c r="E139" s="46"/>
      <c r="F139" s="46"/>
      <c r="G139" s="46"/>
      <c r="H139" s="46"/>
    </row>
    <row r="140" spans="1:8" x14ac:dyDescent="0.15">
      <c r="A140" s="46"/>
      <c r="B140" s="46"/>
      <c r="C140" s="46"/>
      <c r="D140" s="46"/>
      <c r="E140" s="46"/>
      <c r="F140" s="46"/>
      <c r="G140" s="46"/>
      <c r="H140" s="46"/>
    </row>
    <row r="141" spans="1:8" x14ac:dyDescent="0.15">
      <c r="A141" s="46"/>
      <c r="B141" s="46"/>
      <c r="C141" s="46"/>
      <c r="D141" s="46"/>
      <c r="E141" s="46"/>
      <c r="F141" s="46"/>
      <c r="G141" s="46"/>
      <c r="H141" s="46"/>
    </row>
    <row r="142" spans="1:8" x14ac:dyDescent="0.15">
      <c r="A142" s="46"/>
      <c r="B142" s="46"/>
      <c r="C142" s="46"/>
      <c r="D142" s="46"/>
      <c r="E142" s="46"/>
      <c r="F142" s="46"/>
      <c r="G142" s="46"/>
      <c r="H142" s="46"/>
    </row>
    <row r="143" spans="1:8" x14ac:dyDescent="0.15">
      <c r="A143" s="46"/>
      <c r="B143" s="46"/>
      <c r="C143" s="46"/>
      <c r="D143" s="46"/>
      <c r="E143" s="46"/>
      <c r="F143" s="46"/>
      <c r="G143" s="46"/>
      <c r="H143" s="46"/>
    </row>
    <row r="144" spans="1:8" x14ac:dyDescent="0.15">
      <c r="A144" s="46"/>
      <c r="B144" s="46"/>
      <c r="C144" s="46"/>
      <c r="D144" s="46"/>
      <c r="E144" s="46"/>
      <c r="F144" s="46"/>
      <c r="G144" s="46"/>
      <c r="H144" s="46"/>
    </row>
    <row r="145" spans="1:8" x14ac:dyDescent="0.15">
      <c r="A145" s="46"/>
      <c r="B145" s="46"/>
      <c r="C145" s="46"/>
      <c r="D145" s="46"/>
      <c r="E145" s="46"/>
      <c r="F145" s="46"/>
      <c r="G145" s="46"/>
      <c r="H145" s="46"/>
    </row>
    <row r="146" spans="1:8" x14ac:dyDescent="0.15">
      <c r="A146" s="46"/>
      <c r="B146" s="46"/>
      <c r="C146" s="46"/>
      <c r="D146" s="46"/>
      <c r="E146" s="46"/>
      <c r="F146" s="46"/>
      <c r="G146" s="46"/>
      <c r="H146" s="46"/>
    </row>
    <row r="147" spans="1:8" x14ac:dyDescent="0.15">
      <c r="A147" s="46"/>
      <c r="B147" s="46"/>
      <c r="C147" s="46"/>
      <c r="D147" s="46"/>
      <c r="E147" s="46"/>
      <c r="F147" s="46"/>
      <c r="G147" s="46"/>
      <c r="H147" s="46"/>
    </row>
    <row r="148" spans="1:8" x14ac:dyDescent="0.15">
      <c r="A148" s="46"/>
      <c r="B148" s="46"/>
      <c r="C148" s="46"/>
      <c r="D148" s="46"/>
      <c r="E148" s="46"/>
      <c r="F148" s="46"/>
      <c r="G148" s="46"/>
      <c r="H148" s="46"/>
    </row>
    <row r="149" spans="1:8" x14ac:dyDescent="0.15">
      <c r="A149" s="46"/>
      <c r="B149" s="46"/>
      <c r="C149" s="46"/>
      <c r="D149" s="46"/>
      <c r="E149" s="46"/>
      <c r="F149" s="46"/>
      <c r="G149" s="46"/>
      <c r="H149" s="46"/>
    </row>
    <row r="150" spans="1:8" x14ac:dyDescent="0.15">
      <c r="A150" s="46"/>
      <c r="B150" s="46"/>
      <c r="C150" s="46"/>
      <c r="D150" s="46"/>
      <c r="E150" s="46"/>
      <c r="F150" s="46"/>
      <c r="G150" s="46"/>
      <c r="H150" s="46"/>
    </row>
    <row r="151" spans="1:8" x14ac:dyDescent="0.15">
      <c r="A151" s="46"/>
      <c r="B151" s="46"/>
      <c r="C151" s="46"/>
      <c r="D151" s="46"/>
      <c r="E151" s="46"/>
      <c r="F151" s="46"/>
      <c r="G151" s="46"/>
      <c r="H151" s="46"/>
    </row>
    <row r="152" spans="1:8" x14ac:dyDescent="0.15">
      <c r="A152" s="46"/>
      <c r="B152" s="46"/>
      <c r="C152" s="46"/>
      <c r="D152" s="46"/>
      <c r="E152" s="46"/>
      <c r="F152" s="46"/>
      <c r="G152" s="46"/>
      <c r="H152" s="46"/>
    </row>
    <row r="153" spans="1:8" x14ac:dyDescent="0.15">
      <c r="A153" s="46"/>
      <c r="B153" s="46"/>
      <c r="C153" s="46"/>
      <c r="D153" s="46"/>
      <c r="E153" s="46"/>
      <c r="F153" s="46"/>
      <c r="G153" s="46"/>
      <c r="H153" s="46"/>
    </row>
    <row r="154" spans="1:8" x14ac:dyDescent="0.15">
      <c r="A154" s="46"/>
      <c r="B154" s="46"/>
      <c r="C154" s="46"/>
      <c r="D154" s="46"/>
      <c r="E154" s="46"/>
      <c r="F154" s="46"/>
      <c r="G154" s="46"/>
      <c r="H154" s="46"/>
    </row>
    <row r="155" spans="1:8" x14ac:dyDescent="0.15">
      <c r="A155" s="46"/>
      <c r="B155" s="46"/>
      <c r="C155" s="46"/>
      <c r="D155" s="46"/>
      <c r="E155" s="46"/>
      <c r="F155" s="46"/>
      <c r="G155" s="46"/>
      <c r="H155" s="46"/>
    </row>
    <row r="156" spans="1:8" x14ac:dyDescent="0.15">
      <c r="A156" s="46"/>
      <c r="B156" s="46"/>
      <c r="C156" s="46"/>
      <c r="D156" s="46"/>
      <c r="E156" s="46"/>
      <c r="F156" s="46"/>
      <c r="G156" s="46"/>
      <c r="H156" s="46"/>
    </row>
    <row r="157" spans="1:8" x14ac:dyDescent="0.15">
      <c r="A157" s="46"/>
      <c r="B157" s="46"/>
      <c r="C157" s="46"/>
      <c r="D157" s="46"/>
      <c r="E157" s="46"/>
      <c r="F157" s="46"/>
      <c r="G157" s="46"/>
      <c r="H157" s="46"/>
    </row>
    <row r="158" spans="1:8" x14ac:dyDescent="0.15">
      <c r="A158" s="46"/>
      <c r="B158" s="46"/>
      <c r="C158" s="46"/>
      <c r="D158" s="46"/>
      <c r="E158" s="46"/>
      <c r="F158" s="46"/>
      <c r="G158" s="46"/>
      <c r="H158" s="46"/>
    </row>
    <row r="159" spans="1:8" x14ac:dyDescent="0.15">
      <c r="A159" s="46"/>
      <c r="B159" s="46"/>
      <c r="C159" s="46"/>
      <c r="D159" s="46"/>
      <c r="E159" s="46"/>
      <c r="F159" s="46"/>
      <c r="G159" s="46"/>
      <c r="H159" s="46"/>
    </row>
    <row r="160" spans="1:8" x14ac:dyDescent="0.15">
      <c r="A160" s="46"/>
      <c r="B160" s="46"/>
      <c r="C160" s="46"/>
      <c r="D160" s="46"/>
      <c r="E160" s="46"/>
      <c r="F160" s="46"/>
      <c r="G160" s="46"/>
      <c r="H160" s="46"/>
    </row>
    <row r="161" spans="1:8" x14ac:dyDescent="0.15">
      <c r="A161" s="46"/>
      <c r="B161" s="46"/>
      <c r="C161" s="46"/>
      <c r="D161" s="46"/>
      <c r="E161" s="46"/>
      <c r="F161" s="46"/>
      <c r="G161" s="46"/>
      <c r="H161" s="46"/>
    </row>
    <row r="162" spans="1:8" x14ac:dyDescent="0.15">
      <c r="A162" s="46"/>
      <c r="B162" s="46"/>
      <c r="C162" s="46"/>
      <c r="D162" s="46"/>
      <c r="E162" s="46"/>
      <c r="F162" s="46"/>
      <c r="G162" s="46"/>
      <c r="H162" s="46"/>
    </row>
    <row r="163" spans="1:8" x14ac:dyDescent="0.15">
      <c r="A163" s="46"/>
      <c r="B163" s="46"/>
      <c r="C163" s="46"/>
      <c r="D163" s="46"/>
      <c r="E163" s="46"/>
      <c r="F163" s="46"/>
      <c r="G163" s="46"/>
      <c r="H163" s="46"/>
    </row>
    <row r="164" spans="1:8" x14ac:dyDescent="0.15">
      <c r="A164" s="46"/>
      <c r="B164" s="46"/>
      <c r="C164" s="46"/>
      <c r="D164" s="46"/>
      <c r="E164" s="46"/>
      <c r="F164" s="46"/>
      <c r="G164" s="46"/>
      <c r="H164" s="46"/>
    </row>
    <row r="165" spans="1:8" x14ac:dyDescent="0.15">
      <c r="A165" s="46"/>
      <c r="B165" s="46"/>
      <c r="C165" s="46"/>
      <c r="D165" s="46"/>
      <c r="E165" s="46"/>
      <c r="F165" s="46"/>
      <c r="G165" s="46"/>
      <c r="H165" s="46"/>
    </row>
    <row r="166" spans="1:8" x14ac:dyDescent="0.15">
      <c r="A166" s="46"/>
      <c r="B166" s="46"/>
      <c r="C166" s="46"/>
      <c r="D166" s="46"/>
      <c r="E166" s="46"/>
      <c r="F166" s="46"/>
      <c r="G166" s="46"/>
      <c r="H166" s="46"/>
    </row>
    <row r="167" spans="1:8" x14ac:dyDescent="0.15">
      <c r="A167" s="46"/>
      <c r="B167" s="46"/>
      <c r="C167" s="46"/>
      <c r="D167" s="46"/>
      <c r="E167" s="46"/>
      <c r="F167" s="46"/>
      <c r="G167" s="46"/>
      <c r="H167" s="46"/>
    </row>
    <row r="168" spans="1:8" x14ac:dyDescent="0.15">
      <c r="A168" s="46"/>
      <c r="B168" s="46"/>
      <c r="C168" s="46"/>
      <c r="D168" s="46"/>
      <c r="E168" s="46"/>
      <c r="F168" s="46"/>
      <c r="G168" s="46"/>
      <c r="H168" s="46"/>
    </row>
    <row r="169" spans="1:8" x14ac:dyDescent="0.15">
      <c r="A169" s="46"/>
      <c r="B169" s="46"/>
      <c r="C169" s="46"/>
      <c r="D169" s="46"/>
      <c r="E169" s="46"/>
      <c r="F169" s="46"/>
      <c r="G169" s="46"/>
      <c r="H169" s="46"/>
    </row>
    <row r="170" spans="1:8" x14ac:dyDescent="0.15">
      <c r="A170" s="46"/>
      <c r="B170" s="46"/>
      <c r="C170" s="46"/>
      <c r="D170" s="46"/>
      <c r="E170" s="46"/>
      <c r="F170" s="46"/>
      <c r="G170" s="46"/>
      <c r="H170" s="46"/>
    </row>
    <row r="171" spans="1:8" x14ac:dyDescent="0.15">
      <c r="A171" s="46"/>
      <c r="B171" s="46"/>
      <c r="C171" s="46"/>
      <c r="D171" s="46"/>
      <c r="E171" s="46"/>
      <c r="F171" s="46"/>
      <c r="G171" s="46"/>
      <c r="H171" s="46"/>
    </row>
    <row r="172" spans="1:8" x14ac:dyDescent="0.15">
      <c r="A172" s="46"/>
      <c r="B172" s="46"/>
      <c r="C172" s="46"/>
      <c r="D172" s="46"/>
      <c r="E172" s="46"/>
      <c r="F172" s="46"/>
      <c r="G172" s="46"/>
      <c r="H172" s="46"/>
    </row>
    <row r="173" spans="1:8" x14ac:dyDescent="0.15">
      <c r="A173" s="46"/>
      <c r="B173" s="46"/>
      <c r="C173" s="46"/>
      <c r="D173" s="46"/>
      <c r="E173" s="46"/>
      <c r="F173" s="46"/>
      <c r="G173" s="46"/>
      <c r="H173" s="46"/>
    </row>
    <row r="174" spans="1:8" x14ac:dyDescent="0.15">
      <c r="A174" s="46"/>
      <c r="B174" s="46"/>
      <c r="C174" s="46"/>
      <c r="D174" s="46"/>
      <c r="E174" s="46"/>
      <c r="F174" s="46"/>
      <c r="G174" s="46"/>
      <c r="H174" s="46"/>
    </row>
    <row r="175" spans="1:8" x14ac:dyDescent="0.15">
      <c r="A175" s="46"/>
      <c r="B175" s="46"/>
      <c r="C175" s="46"/>
      <c r="D175" s="46"/>
      <c r="E175" s="46"/>
      <c r="F175" s="46"/>
      <c r="G175" s="46"/>
      <c r="H175" s="46"/>
    </row>
    <row r="176" spans="1:8" x14ac:dyDescent="0.15">
      <c r="A176" s="46"/>
      <c r="B176" s="46"/>
      <c r="C176" s="46"/>
      <c r="D176" s="46"/>
      <c r="E176" s="46"/>
      <c r="F176" s="46"/>
      <c r="G176" s="46"/>
      <c r="H176" s="46"/>
    </row>
    <row r="177" spans="1:8" x14ac:dyDescent="0.15">
      <c r="A177" s="46"/>
      <c r="B177" s="46"/>
      <c r="C177" s="46"/>
      <c r="D177" s="46"/>
      <c r="E177" s="46"/>
      <c r="F177" s="46"/>
      <c r="G177" s="46"/>
      <c r="H177" s="46"/>
    </row>
    <row r="178" spans="1:8" x14ac:dyDescent="0.15">
      <c r="A178" s="46"/>
      <c r="B178" s="46"/>
      <c r="C178" s="46"/>
      <c r="D178" s="46"/>
      <c r="E178" s="46"/>
      <c r="F178" s="46"/>
      <c r="G178" s="46"/>
      <c r="H178" s="46"/>
    </row>
    <row r="179" spans="1:8" x14ac:dyDescent="0.15">
      <c r="A179" s="46"/>
      <c r="B179" s="46"/>
      <c r="C179" s="46"/>
      <c r="D179" s="46"/>
      <c r="E179" s="46"/>
      <c r="F179" s="46"/>
      <c r="G179" s="46"/>
      <c r="H179" s="46"/>
    </row>
    <row r="180" spans="1:8" x14ac:dyDescent="0.15">
      <c r="A180" s="46"/>
      <c r="B180" s="46"/>
      <c r="C180" s="46"/>
      <c r="D180" s="46"/>
      <c r="E180" s="46"/>
      <c r="F180" s="46"/>
      <c r="G180" s="46"/>
      <c r="H180" s="46"/>
    </row>
    <row r="181" spans="1:8" x14ac:dyDescent="0.15">
      <c r="A181" s="46"/>
      <c r="B181" s="46"/>
      <c r="C181" s="46"/>
      <c r="D181" s="46"/>
      <c r="E181" s="46"/>
      <c r="F181" s="46"/>
      <c r="G181" s="46"/>
      <c r="H181" s="46"/>
    </row>
    <row r="182" spans="1:8" x14ac:dyDescent="0.15">
      <c r="A182" s="46"/>
      <c r="B182" s="46"/>
      <c r="C182" s="46"/>
      <c r="D182" s="46"/>
      <c r="E182" s="46"/>
      <c r="F182" s="46"/>
      <c r="G182" s="46"/>
      <c r="H182" s="46"/>
    </row>
    <row r="183" spans="1:8" x14ac:dyDescent="0.15">
      <c r="A183" s="46"/>
      <c r="B183" s="46"/>
      <c r="C183" s="46"/>
      <c r="D183" s="46"/>
      <c r="E183" s="46"/>
      <c r="F183" s="46"/>
      <c r="G183" s="46"/>
      <c r="H183" s="46"/>
    </row>
    <row r="184" spans="1:8" x14ac:dyDescent="0.15">
      <c r="A184" s="46"/>
      <c r="B184" s="46"/>
      <c r="C184" s="46"/>
      <c r="D184" s="46"/>
      <c r="E184" s="46"/>
      <c r="F184" s="46"/>
      <c r="G184" s="46"/>
      <c r="H184" s="46"/>
    </row>
    <row r="185" spans="1:8" x14ac:dyDescent="0.15">
      <c r="A185" s="46"/>
      <c r="B185" s="46"/>
      <c r="C185" s="46"/>
      <c r="D185" s="46"/>
      <c r="E185" s="46"/>
      <c r="F185" s="46"/>
      <c r="G185" s="46"/>
      <c r="H185" s="46"/>
    </row>
    <row r="186" spans="1:8" x14ac:dyDescent="0.15">
      <c r="A186" s="46"/>
      <c r="B186" s="46"/>
      <c r="C186" s="46"/>
      <c r="D186" s="46"/>
      <c r="E186" s="46"/>
      <c r="F186" s="46"/>
      <c r="G186" s="46"/>
      <c r="H186" s="46"/>
    </row>
    <row r="187" spans="1:8" x14ac:dyDescent="0.15">
      <c r="A187" s="46"/>
      <c r="B187" s="46"/>
      <c r="C187" s="46"/>
      <c r="D187" s="46"/>
      <c r="E187" s="46"/>
      <c r="F187" s="46"/>
      <c r="G187" s="46"/>
      <c r="H187" s="46"/>
    </row>
    <row r="188" spans="1:8" x14ac:dyDescent="0.15">
      <c r="A188" s="46"/>
      <c r="B188" s="46"/>
      <c r="C188" s="46"/>
      <c r="D188" s="46"/>
      <c r="E188" s="46"/>
      <c r="F188" s="46"/>
      <c r="G188" s="46"/>
      <c r="H188" s="46"/>
    </row>
    <row r="189" spans="1:8" x14ac:dyDescent="0.15">
      <c r="A189" s="46"/>
      <c r="B189" s="46"/>
      <c r="C189" s="46"/>
      <c r="D189" s="46"/>
      <c r="E189" s="46"/>
      <c r="F189" s="46"/>
      <c r="G189" s="46"/>
      <c r="H189" s="46"/>
    </row>
    <row r="190" spans="1:8" x14ac:dyDescent="0.15">
      <c r="A190" s="46"/>
      <c r="B190" s="46"/>
      <c r="C190" s="46"/>
      <c r="D190" s="46"/>
      <c r="E190" s="46"/>
      <c r="F190" s="46"/>
      <c r="G190" s="46"/>
      <c r="H190" s="46"/>
    </row>
    <row r="191" spans="1:8" x14ac:dyDescent="0.15">
      <c r="A191" s="46"/>
      <c r="B191" s="46"/>
      <c r="C191" s="46"/>
      <c r="D191" s="46"/>
      <c r="E191" s="46"/>
      <c r="F191" s="46"/>
      <c r="G191" s="46"/>
      <c r="H191" s="46"/>
    </row>
    <row r="192" spans="1:8" x14ac:dyDescent="0.15">
      <c r="A192" s="46"/>
      <c r="B192" s="46"/>
      <c r="C192" s="46"/>
      <c r="D192" s="46"/>
      <c r="E192" s="46"/>
      <c r="F192" s="46"/>
      <c r="G192" s="46"/>
      <c r="H192" s="46"/>
    </row>
    <row r="193" spans="1:8" x14ac:dyDescent="0.15">
      <c r="A193" s="46"/>
      <c r="B193" s="46"/>
      <c r="C193" s="46"/>
      <c r="D193" s="46"/>
      <c r="E193" s="46"/>
      <c r="F193" s="46"/>
      <c r="G193" s="46"/>
      <c r="H193" s="46"/>
    </row>
    <row r="194" spans="1:8" x14ac:dyDescent="0.15">
      <c r="A194" s="46"/>
      <c r="B194" s="46"/>
      <c r="C194" s="46"/>
      <c r="D194" s="46"/>
      <c r="E194" s="46"/>
      <c r="F194" s="46"/>
      <c r="G194" s="46"/>
      <c r="H194" s="46"/>
    </row>
    <row r="195" spans="1:8" x14ac:dyDescent="0.15">
      <c r="A195" s="46"/>
      <c r="B195" s="46"/>
      <c r="C195" s="46"/>
      <c r="D195" s="46"/>
      <c r="E195" s="46"/>
      <c r="F195" s="46"/>
      <c r="G195" s="46"/>
      <c r="H195" s="46"/>
    </row>
    <row r="196" spans="1:8" x14ac:dyDescent="0.15">
      <c r="A196" s="46"/>
      <c r="B196" s="46"/>
      <c r="C196" s="46"/>
      <c r="D196" s="46"/>
      <c r="E196" s="46"/>
      <c r="F196" s="46"/>
      <c r="G196" s="46"/>
      <c r="H196" s="46"/>
    </row>
    <row r="197" spans="1:8" x14ac:dyDescent="0.15">
      <c r="A197" s="46"/>
      <c r="B197" s="46"/>
      <c r="C197" s="46"/>
      <c r="D197" s="46"/>
      <c r="E197" s="46"/>
      <c r="F197" s="46"/>
      <c r="G197" s="46"/>
      <c r="H197" s="46"/>
    </row>
    <row r="198" spans="1:8" x14ac:dyDescent="0.15">
      <c r="A198" s="46"/>
      <c r="B198" s="46"/>
      <c r="C198" s="46"/>
      <c r="D198" s="46"/>
      <c r="E198" s="46"/>
      <c r="F198" s="46"/>
      <c r="G198" s="46"/>
      <c r="H198" s="46"/>
    </row>
    <row r="199" spans="1:8" x14ac:dyDescent="0.15">
      <c r="A199" s="46"/>
      <c r="B199" s="46"/>
      <c r="C199" s="46"/>
      <c r="D199" s="46"/>
      <c r="E199" s="46"/>
      <c r="F199" s="46"/>
      <c r="G199" s="46"/>
      <c r="H199" s="46"/>
    </row>
    <row r="200" spans="1:8" x14ac:dyDescent="0.15">
      <c r="A200" s="46"/>
      <c r="B200" s="46"/>
      <c r="C200" s="46"/>
      <c r="D200" s="46"/>
      <c r="E200" s="46"/>
      <c r="F200" s="46"/>
      <c r="G200" s="46"/>
      <c r="H200" s="46"/>
    </row>
    <row r="201" spans="1:8" x14ac:dyDescent="0.15">
      <c r="A201" s="46"/>
      <c r="B201" s="46"/>
      <c r="C201" s="46"/>
      <c r="D201" s="46"/>
      <c r="E201" s="46"/>
      <c r="F201" s="46"/>
      <c r="G201" s="46"/>
      <c r="H201" s="46"/>
    </row>
    <row r="202" spans="1:8" x14ac:dyDescent="0.15">
      <c r="A202" s="46"/>
      <c r="B202" s="46"/>
      <c r="C202" s="46"/>
      <c r="D202" s="46"/>
      <c r="E202" s="46"/>
      <c r="F202" s="46"/>
      <c r="G202" s="46"/>
      <c r="H202" s="46"/>
    </row>
    <row r="203" spans="1:8" x14ac:dyDescent="0.15">
      <c r="A203" s="46"/>
      <c r="B203" s="46"/>
      <c r="C203" s="46"/>
      <c r="D203" s="46"/>
      <c r="E203" s="46"/>
      <c r="F203" s="46"/>
      <c r="G203" s="46"/>
      <c r="H203" s="46"/>
    </row>
    <row r="204" spans="1:8" x14ac:dyDescent="0.15">
      <c r="A204" s="46"/>
      <c r="B204" s="46"/>
      <c r="C204" s="46"/>
      <c r="D204" s="46"/>
      <c r="E204" s="46"/>
      <c r="F204" s="46"/>
      <c r="G204" s="46"/>
      <c r="H204" s="46"/>
    </row>
    <row r="205" spans="1:8" x14ac:dyDescent="0.15">
      <c r="A205" s="46"/>
      <c r="B205" s="46"/>
      <c r="C205" s="46"/>
      <c r="D205" s="46"/>
      <c r="E205" s="46"/>
      <c r="F205" s="46"/>
      <c r="G205" s="46"/>
      <c r="H205" s="46"/>
    </row>
    <row r="206" spans="1:8" x14ac:dyDescent="0.15">
      <c r="A206" s="46"/>
      <c r="B206" s="46"/>
      <c r="C206" s="46"/>
      <c r="D206" s="46"/>
      <c r="E206" s="46"/>
      <c r="F206" s="46"/>
      <c r="G206" s="46"/>
      <c r="H206" s="46"/>
    </row>
  </sheetData>
  <mergeCells count="1">
    <mergeCell ref="B2:G3"/>
  </mergeCells>
  <phoneticPr fontId="0" type="noConversion"/>
  <printOptions gridLines="1" gridLinesSet="0"/>
  <pageMargins left="1.6" right="1.03" top="2.0499999999999998" bottom="1" header="0.52" footer="0.5"/>
  <pageSetup scale="70" orientation="portrait" horizontalDpi="300" verticalDpi="300" r:id="rId1"/>
  <headerFooter alignWithMargins="0">
    <oddFooter xml:space="preserve">&amp;C&amp;"Arial,Regular"Assumption Schedule - Page No. 1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86"/>
  <sheetViews>
    <sheetView windowProtection="1" showGridLines="0" topLeftCell="A34" zoomScale="85" zoomScaleNormal="85" workbookViewId="0">
      <selection activeCell="B10" sqref="B10:F10"/>
    </sheetView>
  </sheetViews>
  <sheetFormatPr defaultRowHeight="12" x14ac:dyDescent="0.15"/>
  <cols>
    <col min="1" max="1" width="27.375" customWidth="1"/>
    <col min="2" max="15" width="10.125" style="286" customWidth="1"/>
  </cols>
  <sheetData>
    <row r="1" spans="1:20" ht="33.75" x14ac:dyDescent="0.5">
      <c r="A1" s="284" t="str">
        <f>Assumptions!B3</f>
        <v>simulation water company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85"/>
      <c r="Q1" s="85"/>
      <c r="R1" s="85"/>
      <c r="S1" s="85"/>
      <c r="T1" s="85"/>
    </row>
    <row r="2" spans="1:20" ht="23.25" x14ac:dyDescent="0.35">
      <c r="A2" s="534" t="s">
        <v>232</v>
      </c>
      <c r="B2" s="535"/>
      <c r="C2" s="535"/>
      <c r="D2" s="535"/>
      <c r="E2" s="535"/>
      <c r="F2" s="535"/>
      <c r="G2" s="535"/>
      <c r="H2" s="535"/>
      <c r="I2" s="535"/>
      <c r="J2" s="535"/>
      <c r="K2" s="535"/>
      <c r="L2" s="535"/>
      <c r="M2" s="535"/>
      <c r="N2" s="535"/>
      <c r="O2" s="536"/>
      <c r="P2" s="85"/>
      <c r="Q2" s="85"/>
      <c r="R2" s="85"/>
      <c r="S2" s="85"/>
      <c r="T2" s="85"/>
    </row>
    <row r="3" spans="1:20" ht="23.25" x14ac:dyDescent="0.35">
      <c r="A3" s="285"/>
      <c r="B3" s="287">
        <f>Assumptions!B4+1</f>
        <v>2018</v>
      </c>
      <c r="C3" s="287">
        <f>B3+1</f>
        <v>2019</v>
      </c>
      <c r="D3" s="287">
        <f t="shared" ref="D3:O3" si="0">C3+1</f>
        <v>2020</v>
      </c>
      <c r="E3" s="287">
        <f t="shared" si="0"/>
        <v>2021</v>
      </c>
      <c r="F3" s="287">
        <f t="shared" si="0"/>
        <v>2022</v>
      </c>
      <c r="G3" s="287">
        <f t="shared" si="0"/>
        <v>2023</v>
      </c>
      <c r="H3" s="287">
        <f t="shared" si="0"/>
        <v>2024</v>
      </c>
      <c r="I3" s="287">
        <f t="shared" si="0"/>
        <v>2025</v>
      </c>
      <c r="J3" s="287">
        <f t="shared" si="0"/>
        <v>2026</v>
      </c>
      <c r="K3" s="287">
        <f t="shared" si="0"/>
        <v>2027</v>
      </c>
      <c r="L3" s="287">
        <f t="shared" si="0"/>
        <v>2028</v>
      </c>
      <c r="M3" s="287">
        <f t="shared" si="0"/>
        <v>2029</v>
      </c>
      <c r="N3" s="287">
        <f t="shared" si="0"/>
        <v>2030</v>
      </c>
      <c r="O3" s="287">
        <f t="shared" si="0"/>
        <v>2031</v>
      </c>
      <c r="P3" s="85"/>
      <c r="Q3" s="85"/>
      <c r="R3" s="85"/>
      <c r="S3" s="85"/>
      <c r="T3" s="85"/>
    </row>
    <row r="4" spans="1:20" ht="15.75" x14ac:dyDescent="0.25">
      <c r="A4" s="322" t="s">
        <v>74</v>
      </c>
      <c r="B4" s="323">
        <f>Assumptions!B4</f>
        <v>2017</v>
      </c>
      <c r="C4" s="315">
        <v>2570</v>
      </c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85"/>
      <c r="Q4" s="85"/>
      <c r="R4" s="85"/>
      <c r="S4" s="85"/>
      <c r="T4" s="85"/>
    </row>
    <row r="5" spans="1:20" ht="12.75" x14ac:dyDescent="0.2">
      <c r="A5" s="440" t="s">
        <v>77</v>
      </c>
      <c r="B5" s="441">
        <f>47%-Dashboard!F6</f>
        <v>0.47</v>
      </c>
      <c r="C5" s="407">
        <f>B5-Dashboard!G6</f>
        <v>0.47</v>
      </c>
      <c r="D5" s="407">
        <f>C5-Dashboard!H6</f>
        <v>0.47</v>
      </c>
      <c r="E5" s="407">
        <f>D5-Dashboard!I6</f>
        <v>0.47</v>
      </c>
      <c r="F5" s="407">
        <f>E5-Dashboard!J6</f>
        <v>0.47</v>
      </c>
      <c r="G5" s="407">
        <f>F5-Dashboard!K6</f>
        <v>0.47</v>
      </c>
      <c r="H5" s="407">
        <f>G5</f>
        <v>0.47</v>
      </c>
      <c r="I5" s="407">
        <f t="shared" ref="I5:O5" si="1">H5</f>
        <v>0.47</v>
      </c>
      <c r="J5" s="407">
        <f t="shared" si="1"/>
        <v>0.47</v>
      </c>
      <c r="K5" s="407">
        <f t="shared" si="1"/>
        <v>0.47</v>
      </c>
      <c r="L5" s="407">
        <f t="shared" si="1"/>
        <v>0.47</v>
      </c>
      <c r="M5" s="407">
        <f t="shared" si="1"/>
        <v>0.47</v>
      </c>
      <c r="N5" s="407">
        <f t="shared" si="1"/>
        <v>0.47</v>
      </c>
      <c r="O5" s="407">
        <f t="shared" si="1"/>
        <v>0.47</v>
      </c>
      <c r="P5" s="85"/>
      <c r="Q5" s="85"/>
      <c r="R5" s="85"/>
      <c r="S5" s="85"/>
      <c r="T5" s="85"/>
    </row>
    <row r="6" spans="1:20" ht="12.75" x14ac:dyDescent="0.2">
      <c r="A6" s="440" t="s">
        <v>233</v>
      </c>
      <c r="B6" s="503">
        <f>Dashboard!B20</f>
        <v>7500</v>
      </c>
      <c r="C6" s="406"/>
      <c r="D6" s="406"/>
      <c r="E6" s="406"/>
      <c r="F6" s="406"/>
      <c r="G6" s="406"/>
      <c r="H6" s="406"/>
      <c r="I6" s="406"/>
      <c r="J6" s="406"/>
      <c r="K6" s="406"/>
      <c r="L6" s="406"/>
      <c r="M6" s="406"/>
      <c r="N6" s="406"/>
      <c r="O6" s="406"/>
      <c r="P6" s="85"/>
      <c r="Q6" s="85"/>
      <c r="R6" s="85"/>
      <c r="S6" s="85"/>
      <c r="T6" s="85"/>
    </row>
    <row r="7" spans="1:20" ht="12.75" x14ac:dyDescent="0.2">
      <c r="A7" s="410" t="s">
        <v>239</v>
      </c>
      <c r="B7" s="508">
        <v>0.35</v>
      </c>
      <c r="C7" s="406"/>
      <c r="D7" s="406"/>
      <c r="E7" s="406"/>
      <c r="F7" s="406"/>
      <c r="G7" s="406"/>
      <c r="H7" s="406"/>
      <c r="I7" s="406"/>
      <c r="J7" s="406"/>
      <c r="K7" s="406"/>
      <c r="L7" s="406"/>
      <c r="M7" s="406"/>
      <c r="N7" s="406"/>
      <c r="O7" s="406"/>
      <c r="P7" s="379"/>
      <c r="Q7" s="379"/>
      <c r="R7" s="379"/>
      <c r="S7" s="379"/>
      <c r="T7" s="379"/>
    </row>
    <row r="8" spans="1:20" ht="12.75" x14ac:dyDescent="0.2">
      <c r="A8" s="410" t="s">
        <v>359</v>
      </c>
      <c r="B8" s="522">
        <f>Dashboard!B19</f>
        <v>0.9</v>
      </c>
      <c r="C8" s="406"/>
      <c r="D8" s="406"/>
      <c r="E8" s="406"/>
      <c r="F8" s="406"/>
      <c r="G8" s="406"/>
      <c r="H8" s="406"/>
      <c r="I8" s="406"/>
      <c r="J8" s="406"/>
      <c r="K8" s="406"/>
      <c r="L8" s="406"/>
      <c r="M8" s="406"/>
      <c r="N8" s="406"/>
      <c r="O8" s="406"/>
      <c r="P8" s="379"/>
      <c r="Q8" s="379"/>
      <c r="R8" s="379"/>
      <c r="S8" s="379"/>
      <c r="T8" s="379"/>
    </row>
    <row r="9" spans="1:20" ht="12.75" x14ac:dyDescent="0.2">
      <c r="A9" s="440" t="s">
        <v>297</v>
      </c>
      <c r="B9" s="520">
        <f>600000/1000000</f>
        <v>0.6</v>
      </c>
      <c r="C9" s="406"/>
      <c r="D9" s="406"/>
      <c r="E9" s="406"/>
      <c r="F9" s="406"/>
      <c r="G9" s="406"/>
      <c r="H9" s="406"/>
      <c r="I9" s="406"/>
      <c r="J9" s="406"/>
      <c r="K9" s="406"/>
      <c r="L9" s="406"/>
      <c r="M9" s="406"/>
      <c r="N9" s="406"/>
      <c r="O9" s="406"/>
      <c r="P9" s="85"/>
      <c r="Q9" s="85"/>
      <c r="R9" s="85"/>
      <c r="S9" s="85"/>
      <c r="T9" s="85"/>
    </row>
    <row r="10" spans="1:20" ht="12.75" x14ac:dyDescent="0.2">
      <c r="A10" s="440" t="s">
        <v>234</v>
      </c>
      <c r="B10" s="441">
        <f>Dashboard!F10</f>
        <v>0</v>
      </c>
      <c r="C10" s="407">
        <f>Dashboard!G10</f>
        <v>0</v>
      </c>
      <c r="D10" s="407">
        <f>Dashboard!H10</f>
        <v>0</v>
      </c>
      <c r="E10" s="407">
        <f>Dashboard!I10</f>
        <v>0</v>
      </c>
      <c r="F10" s="407">
        <f>Dashboard!J10</f>
        <v>0</v>
      </c>
      <c r="G10" s="407"/>
      <c r="H10" s="407"/>
      <c r="I10" s="407"/>
      <c r="J10" s="407"/>
      <c r="K10" s="407"/>
      <c r="L10" s="407"/>
      <c r="M10" s="407"/>
      <c r="N10" s="407"/>
      <c r="O10" s="407"/>
      <c r="P10" s="85"/>
      <c r="Q10" s="85"/>
      <c r="R10" s="85"/>
      <c r="S10" s="85"/>
      <c r="T10" s="85"/>
    </row>
    <row r="11" spans="1:20" ht="15" customHeight="1" x14ac:dyDescent="0.2">
      <c r="A11" s="317" t="s">
        <v>235</v>
      </c>
      <c r="B11" s="305">
        <f>1*(1+B10)</f>
        <v>1</v>
      </c>
      <c r="C11" s="305">
        <f t="shared" ref="C11:O11" si="2">B11*(1+C10)</f>
        <v>1</v>
      </c>
      <c r="D11" s="305">
        <f t="shared" si="2"/>
        <v>1</v>
      </c>
      <c r="E11" s="305">
        <f t="shared" si="2"/>
        <v>1</v>
      </c>
      <c r="F11" s="305">
        <f t="shared" si="2"/>
        <v>1</v>
      </c>
      <c r="G11" s="305">
        <f t="shared" si="2"/>
        <v>1</v>
      </c>
      <c r="H11" s="305">
        <f t="shared" si="2"/>
        <v>1</v>
      </c>
      <c r="I11" s="305">
        <f t="shared" si="2"/>
        <v>1</v>
      </c>
      <c r="J11" s="305">
        <f t="shared" si="2"/>
        <v>1</v>
      </c>
      <c r="K11" s="305">
        <f t="shared" si="2"/>
        <v>1</v>
      </c>
      <c r="L11" s="305">
        <f t="shared" si="2"/>
        <v>1</v>
      </c>
      <c r="M11" s="305">
        <f t="shared" si="2"/>
        <v>1</v>
      </c>
      <c r="N11" s="305">
        <f t="shared" si="2"/>
        <v>1</v>
      </c>
      <c r="O11" s="305">
        <f t="shared" si="2"/>
        <v>1</v>
      </c>
      <c r="P11" s="85"/>
      <c r="Q11" s="85"/>
      <c r="R11" s="85"/>
      <c r="S11" s="85"/>
      <c r="T11" s="85"/>
    </row>
    <row r="12" spans="1:20" ht="12.75" x14ac:dyDescent="0.2">
      <c r="A12" s="317" t="s">
        <v>236</v>
      </c>
      <c r="B12" s="305">
        <f>(B11+1)/2</f>
        <v>1</v>
      </c>
      <c r="C12" s="305">
        <f t="shared" ref="C12:O12" si="3">(+B11+C11)/2</f>
        <v>1</v>
      </c>
      <c r="D12" s="305">
        <f t="shared" si="3"/>
        <v>1</v>
      </c>
      <c r="E12" s="305">
        <f t="shared" si="3"/>
        <v>1</v>
      </c>
      <c r="F12" s="305">
        <f t="shared" si="3"/>
        <v>1</v>
      </c>
      <c r="G12" s="305">
        <f t="shared" si="3"/>
        <v>1</v>
      </c>
      <c r="H12" s="305">
        <f t="shared" si="3"/>
        <v>1</v>
      </c>
      <c r="I12" s="305">
        <f t="shared" si="3"/>
        <v>1</v>
      </c>
      <c r="J12" s="305">
        <f t="shared" si="3"/>
        <v>1</v>
      </c>
      <c r="K12" s="305">
        <f t="shared" si="3"/>
        <v>1</v>
      </c>
      <c r="L12" s="305">
        <f t="shared" si="3"/>
        <v>1</v>
      </c>
      <c r="M12" s="305">
        <f t="shared" si="3"/>
        <v>1</v>
      </c>
      <c r="N12" s="305">
        <f t="shared" si="3"/>
        <v>1</v>
      </c>
      <c r="O12" s="305">
        <f t="shared" si="3"/>
        <v>1</v>
      </c>
      <c r="P12" s="85"/>
      <c r="Q12" s="85"/>
      <c r="R12" s="85"/>
      <c r="S12" s="85"/>
      <c r="T12" s="85"/>
    </row>
    <row r="13" spans="1:20" ht="12.75" x14ac:dyDescent="0.2">
      <c r="A13" s="318" t="s">
        <v>237</v>
      </c>
      <c r="B13" s="319">
        <f>$B$6*B12</f>
        <v>7500</v>
      </c>
      <c r="C13" s="319">
        <f t="shared" ref="C13:O13" si="4">$B$6*C12</f>
        <v>7500</v>
      </c>
      <c r="D13" s="319">
        <f t="shared" si="4"/>
        <v>7500</v>
      </c>
      <c r="E13" s="319">
        <f t="shared" si="4"/>
        <v>7500</v>
      </c>
      <c r="F13" s="319">
        <f t="shared" si="4"/>
        <v>7500</v>
      </c>
      <c r="G13" s="319">
        <f t="shared" si="4"/>
        <v>7500</v>
      </c>
      <c r="H13" s="319">
        <f t="shared" si="4"/>
        <v>7500</v>
      </c>
      <c r="I13" s="319">
        <f t="shared" si="4"/>
        <v>7500</v>
      </c>
      <c r="J13" s="319">
        <f t="shared" si="4"/>
        <v>7500</v>
      </c>
      <c r="K13" s="319">
        <f t="shared" si="4"/>
        <v>7500</v>
      </c>
      <c r="L13" s="319">
        <f t="shared" si="4"/>
        <v>7500</v>
      </c>
      <c r="M13" s="319">
        <f t="shared" si="4"/>
        <v>7500</v>
      </c>
      <c r="N13" s="319">
        <f t="shared" si="4"/>
        <v>7500</v>
      </c>
      <c r="O13" s="319">
        <f t="shared" si="4"/>
        <v>7500</v>
      </c>
      <c r="P13" s="85"/>
      <c r="Q13" s="85"/>
      <c r="R13" s="85"/>
      <c r="S13" s="85"/>
      <c r="T13" s="85"/>
    </row>
    <row r="14" spans="1:20" ht="12.75" x14ac:dyDescent="0.2">
      <c r="A14" s="410" t="s">
        <v>238</v>
      </c>
      <c r="B14" s="406">
        <f>Dashboard!F7</f>
        <v>0</v>
      </c>
      <c r="C14" s="406">
        <f>Dashboard!G7</f>
        <v>0</v>
      </c>
      <c r="D14" s="406">
        <f>Dashboard!H7</f>
        <v>0</v>
      </c>
      <c r="E14" s="406">
        <f>Dashboard!I7</f>
        <v>0</v>
      </c>
      <c r="F14" s="406">
        <f>Dashboard!J7</f>
        <v>0</v>
      </c>
      <c r="G14" s="406"/>
      <c r="H14" s="406"/>
      <c r="I14" s="406"/>
      <c r="J14" s="406"/>
      <c r="K14" s="406"/>
      <c r="L14" s="406"/>
      <c r="M14" s="406"/>
      <c r="N14" s="406"/>
      <c r="O14" s="406"/>
      <c r="P14" s="85"/>
      <c r="Q14" s="85"/>
      <c r="R14" s="85"/>
      <c r="S14" s="85"/>
      <c r="T14" s="85"/>
    </row>
    <row r="15" spans="1:20" ht="12.75" x14ac:dyDescent="0.2">
      <c r="A15" s="410" t="s">
        <v>292</v>
      </c>
      <c r="B15" s="406">
        <f>Dashboard!F9</f>
        <v>0</v>
      </c>
      <c r="C15" s="406">
        <f>Dashboard!G9</f>
        <v>0</v>
      </c>
      <c r="D15" s="406">
        <f>Dashboard!H9</f>
        <v>0</v>
      </c>
      <c r="E15" s="406">
        <f>Dashboard!I9</f>
        <v>0</v>
      </c>
      <c r="F15" s="406">
        <f>Dashboard!J9</f>
        <v>0</v>
      </c>
      <c r="G15" s="406"/>
      <c r="H15" s="406"/>
      <c r="I15" s="406"/>
      <c r="J15" s="406"/>
      <c r="K15" s="406"/>
      <c r="L15" s="406"/>
      <c r="M15" s="406"/>
      <c r="N15" s="406"/>
      <c r="O15" s="406"/>
      <c r="P15" s="85"/>
      <c r="Q15" s="85"/>
      <c r="R15" s="85"/>
      <c r="S15" s="85"/>
      <c r="T15" s="85"/>
    </row>
    <row r="16" spans="1:20" s="379" customFormat="1" ht="12.75" x14ac:dyDescent="0.2">
      <c r="A16" s="410" t="s">
        <v>319</v>
      </c>
      <c r="B16" s="408">
        <f>B15/50</f>
        <v>0</v>
      </c>
      <c r="C16" s="408">
        <f>C15/50</f>
        <v>0</v>
      </c>
      <c r="D16" s="408">
        <f>D15/50</f>
        <v>0</v>
      </c>
      <c r="E16" s="408">
        <f>E15/50</f>
        <v>0</v>
      </c>
      <c r="F16" s="408">
        <f>F15/50</f>
        <v>0</v>
      </c>
      <c r="G16" s="406"/>
      <c r="H16" s="406"/>
      <c r="I16" s="406"/>
      <c r="J16" s="406"/>
      <c r="K16" s="406"/>
      <c r="L16" s="406"/>
      <c r="M16" s="406"/>
      <c r="N16" s="406"/>
      <c r="O16" s="406"/>
    </row>
    <row r="17" spans="1:20" ht="12.75" x14ac:dyDescent="0.2">
      <c r="A17" s="410" t="s">
        <v>239</v>
      </c>
      <c r="B17" s="442">
        <f>B7-(B7*B18)</f>
        <v>0.35</v>
      </c>
      <c r="C17" s="442">
        <f>+B17-(B17*C18)</f>
        <v>0.35</v>
      </c>
      <c r="D17" s="442">
        <f t="shared" ref="D17:F17" si="5">+C17-(C17*D18)</f>
        <v>0.35</v>
      </c>
      <c r="E17" s="442">
        <f t="shared" si="5"/>
        <v>0.35</v>
      </c>
      <c r="F17" s="442">
        <f t="shared" si="5"/>
        <v>0.35</v>
      </c>
      <c r="G17" s="442">
        <f>F17</f>
        <v>0.35</v>
      </c>
      <c r="H17" s="442">
        <f t="shared" ref="H17:O17" si="6">G17</f>
        <v>0.35</v>
      </c>
      <c r="I17" s="442">
        <f t="shared" si="6"/>
        <v>0.35</v>
      </c>
      <c r="J17" s="442">
        <f t="shared" si="6"/>
        <v>0.35</v>
      </c>
      <c r="K17" s="442">
        <f t="shared" si="6"/>
        <v>0.35</v>
      </c>
      <c r="L17" s="442">
        <f t="shared" si="6"/>
        <v>0.35</v>
      </c>
      <c r="M17" s="442">
        <f t="shared" si="6"/>
        <v>0.35</v>
      </c>
      <c r="N17" s="442">
        <f t="shared" si="6"/>
        <v>0.35</v>
      </c>
      <c r="O17" s="442">
        <f t="shared" si="6"/>
        <v>0.35</v>
      </c>
      <c r="P17" s="85"/>
      <c r="Q17" s="85"/>
      <c r="R17" s="85"/>
      <c r="S17" s="85"/>
      <c r="T17" s="85"/>
    </row>
    <row r="18" spans="1:20" ht="12.75" x14ac:dyDescent="0.2">
      <c r="A18" s="410" t="s">
        <v>347</v>
      </c>
      <c r="B18" s="523">
        <f>IF(B10=0,0,(B8/100))</f>
        <v>0</v>
      </c>
      <c r="C18" s="523">
        <f>IF(C10=0,0,($B$8/100))</f>
        <v>0</v>
      </c>
      <c r="D18" s="523">
        <f t="shared" ref="D18:O18" si="7">IF(D10=0,0,($B$8/100))</f>
        <v>0</v>
      </c>
      <c r="E18" s="523">
        <f t="shared" si="7"/>
        <v>0</v>
      </c>
      <c r="F18" s="523">
        <f t="shared" si="7"/>
        <v>0</v>
      </c>
      <c r="G18" s="523">
        <f t="shared" si="7"/>
        <v>0</v>
      </c>
      <c r="H18" s="523">
        <f t="shared" si="7"/>
        <v>0</v>
      </c>
      <c r="I18" s="523">
        <f t="shared" si="7"/>
        <v>0</v>
      </c>
      <c r="J18" s="523">
        <f t="shared" si="7"/>
        <v>0</v>
      </c>
      <c r="K18" s="523">
        <f t="shared" si="7"/>
        <v>0</v>
      </c>
      <c r="L18" s="523">
        <f t="shared" si="7"/>
        <v>0</v>
      </c>
      <c r="M18" s="523">
        <f t="shared" si="7"/>
        <v>0</v>
      </c>
      <c r="N18" s="523">
        <f t="shared" si="7"/>
        <v>0</v>
      </c>
      <c r="O18" s="523">
        <f t="shared" si="7"/>
        <v>0</v>
      </c>
      <c r="P18" s="379"/>
      <c r="Q18" s="379"/>
      <c r="R18" s="379"/>
      <c r="S18" s="379"/>
      <c r="T18" s="379"/>
    </row>
    <row r="19" spans="1:20" ht="12.75" x14ac:dyDescent="0.2">
      <c r="A19" s="443" t="s">
        <v>78</v>
      </c>
      <c r="B19" s="524">
        <f>650000+Dashboard!F8</f>
        <v>650000</v>
      </c>
      <c r="C19" s="525">
        <f>B19+Dashboard!G8</f>
        <v>650000</v>
      </c>
      <c r="D19" s="525">
        <f>C19+Dashboard!H8</f>
        <v>650000</v>
      </c>
      <c r="E19" s="525">
        <f>D19+Dashboard!I8</f>
        <v>650000</v>
      </c>
      <c r="F19" s="525">
        <f>E19+Dashboard!J8</f>
        <v>650000</v>
      </c>
      <c r="G19" s="444">
        <f>F19</f>
        <v>650000</v>
      </c>
      <c r="H19" s="444">
        <f t="shared" ref="H19:O19" si="8">G19</f>
        <v>650000</v>
      </c>
      <c r="I19" s="444">
        <f t="shared" si="8"/>
        <v>650000</v>
      </c>
      <c r="J19" s="444">
        <f t="shared" si="8"/>
        <v>650000</v>
      </c>
      <c r="K19" s="444">
        <f t="shared" si="8"/>
        <v>650000</v>
      </c>
      <c r="L19" s="444">
        <f t="shared" si="8"/>
        <v>650000</v>
      </c>
      <c r="M19" s="444">
        <f t="shared" si="8"/>
        <v>650000</v>
      </c>
      <c r="N19" s="444">
        <f t="shared" si="8"/>
        <v>650000</v>
      </c>
      <c r="O19" s="444">
        <f t="shared" si="8"/>
        <v>650000</v>
      </c>
      <c r="P19" s="85"/>
      <c r="Q19" s="85"/>
      <c r="R19" s="85"/>
      <c r="S19" s="85"/>
      <c r="T19" s="85"/>
    </row>
    <row r="20" spans="1:20" ht="12.75" x14ac:dyDescent="0.2">
      <c r="A20" s="320" t="s">
        <v>240</v>
      </c>
      <c r="B20" s="445">
        <f>(C4+(B14*0.5))*B17*365</f>
        <v>328317.49999999994</v>
      </c>
      <c r="C20" s="445">
        <f t="shared" ref="C20:O20" si="9">(B26+(C14*0.5))*C17*365</f>
        <v>328317.49999999994</v>
      </c>
      <c r="D20" s="445">
        <f t="shared" si="9"/>
        <v>328317.49999999994</v>
      </c>
      <c r="E20" s="445">
        <f t="shared" si="9"/>
        <v>328317.49999999994</v>
      </c>
      <c r="F20" s="445">
        <f t="shared" si="9"/>
        <v>328317.49999999994</v>
      </c>
      <c r="G20" s="445">
        <f t="shared" si="9"/>
        <v>328317.49999999994</v>
      </c>
      <c r="H20" s="445">
        <f t="shared" si="9"/>
        <v>328317.49999999994</v>
      </c>
      <c r="I20" s="445">
        <f t="shared" si="9"/>
        <v>328317.49999999994</v>
      </c>
      <c r="J20" s="445">
        <f t="shared" si="9"/>
        <v>328317.49999999994</v>
      </c>
      <c r="K20" s="445">
        <f t="shared" si="9"/>
        <v>328317.49999999994</v>
      </c>
      <c r="L20" s="445">
        <f t="shared" si="9"/>
        <v>328317.49999999994</v>
      </c>
      <c r="M20" s="445">
        <f t="shared" si="9"/>
        <v>328317.49999999994</v>
      </c>
      <c r="N20" s="445">
        <f t="shared" si="9"/>
        <v>328317.49999999994</v>
      </c>
      <c r="O20" s="445">
        <f t="shared" si="9"/>
        <v>328317.49999999994</v>
      </c>
      <c r="P20" s="85"/>
      <c r="Q20" s="85"/>
      <c r="R20" s="85"/>
      <c r="S20" s="85"/>
      <c r="T20" s="85"/>
    </row>
    <row r="21" spans="1:20" ht="12.75" x14ac:dyDescent="0.2">
      <c r="A21" s="446" t="s">
        <v>79</v>
      </c>
      <c r="B21" s="445">
        <f t="shared" ref="B21:O21" si="10">B20/(1-B5)</f>
        <v>619466.98113207531</v>
      </c>
      <c r="C21" s="445">
        <f t="shared" si="10"/>
        <v>619466.98113207531</v>
      </c>
      <c r="D21" s="445">
        <f t="shared" si="10"/>
        <v>619466.98113207531</v>
      </c>
      <c r="E21" s="445">
        <f t="shared" si="10"/>
        <v>619466.98113207531</v>
      </c>
      <c r="F21" s="445">
        <f t="shared" si="10"/>
        <v>619466.98113207531</v>
      </c>
      <c r="G21" s="445">
        <f t="shared" si="10"/>
        <v>619466.98113207531</v>
      </c>
      <c r="H21" s="445">
        <f t="shared" si="10"/>
        <v>619466.98113207531</v>
      </c>
      <c r="I21" s="445">
        <f t="shared" si="10"/>
        <v>619466.98113207531</v>
      </c>
      <c r="J21" s="445">
        <f t="shared" si="10"/>
        <v>619466.98113207531</v>
      </c>
      <c r="K21" s="445">
        <f t="shared" si="10"/>
        <v>619466.98113207531</v>
      </c>
      <c r="L21" s="445">
        <f t="shared" si="10"/>
        <v>619466.98113207531</v>
      </c>
      <c r="M21" s="445">
        <f t="shared" si="10"/>
        <v>619466.98113207531</v>
      </c>
      <c r="N21" s="445">
        <f t="shared" si="10"/>
        <v>619466.98113207531</v>
      </c>
      <c r="O21" s="445">
        <f t="shared" si="10"/>
        <v>619466.98113207531</v>
      </c>
      <c r="P21" s="85"/>
      <c r="Q21" s="85"/>
      <c r="R21" s="85"/>
      <c r="S21" s="85"/>
      <c r="T21" s="85"/>
    </row>
    <row r="22" spans="1:20" ht="12.75" x14ac:dyDescent="0.2">
      <c r="A22" s="447" t="s">
        <v>80</v>
      </c>
      <c r="B22" s="445">
        <f t="shared" ref="B22:O22" si="11">IF(B21&lt;B19,B21,B19)</f>
        <v>619466.98113207531</v>
      </c>
      <c r="C22" s="445">
        <f t="shared" si="11"/>
        <v>619466.98113207531</v>
      </c>
      <c r="D22" s="445">
        <f t="shared" si="11"/>
        <v>619466.98113207531</v>
      </c>
      <c r="E22" s="445">
        <f t="shared" si="11"/>
        <v>619466.98113207531</v>
      </c>
      <c r="F22" s="445">
        <f t="shared" si="11"/>
        <v>619466.98113207531</v>
      </c>
      <c r="G22" s="445">
        <f t="shared" si="11"/>
        <v>619466.98113207531</v>
      </c>
      <c r="H22" s="445">
        <f t="shared" si="11"/>
        <v>619466.98113207531</v>
      </c>
      <c r="I22" s="445">
        <f t="shared" si="11"/>
        <v>619466.98113207531</v>
      </c>
      <c r="J22" s="445">
        <f t="shared" si="11"/>
        <v>619466.98113207531</v>
      </c>
      <c r="K22" s="445">
        <f t="shared" si="11"/>
        <v>619466.98113207531</v>
      </c>
      <c r="L22" s="445">
        <f t="shared" si="11"/>
        <v>619466.98113207531</v>
      </c>
      <c r="M22" s="445">
        <f t="shared" si="11"/>
        <v>619466.98113207531</v>
      </c>
      <c r="N22" s="445">
        <f t="shared" si="11"/>
        <v>619466.98113207531</v>
      </c>
      <c r="O22" s="445">
        <f t="shared" si="11"/>
        <v>619466.98113207531</v>
      </c>
      <c r="P22" s="85"/>
      <c r="Q22" s="85"/>
      <c r="R22" s="85"/>
      <c r="S22" s="85"/>
      <c r="T22" s="85"/>
    </row>
    <row r="23" spans="1:20" ht="12.75" x14ac:dyDescent="0.2">
      <c r="A23" s="447" t="s">
        <v>81</v>
      </c>
      <c r="B23" s="445">
        <f t="shared" ref="B23:O23" si="12">B22-(B22*B5)</f>
        <v>328317.49999999994</v>
      </c>
      <c r="C23" s="445">
        <f t="shared" si="12"/>
        <v>328317.49999999994</v>
      </c>
      <c r="D23" s="445">
        <f t="shared" si="12"/>
        <v>328317.49999999994</v>
      </c>
      <c r="E23" s="445">
        <f t="shared" si="12"/>
        <v>328317.49999999994</v>
      </c>
      <c r="F23" s="445">
        <f t="shared" si="12"/>
        <v>328317.49999999994</v>
      </c>
      <c r="G23" s="445">
        <f t="shared" si="12"/>
        <v>328317.49999999994</v>
      </c>
      <c r="H23" s="445">
        <f t="shared" si="12"/>
        <v>328317.49999999994</v>
      </c>
      <c r="I23" s="445">
        <f t="shared" si="12"/>
        <v>328317.49999999994</v>
      </c>
      <c r="J23" s="445">
        <f t="shared" si="12"/>
        <v>328317.49999999994</v>
      </c>
      <c r="K23" s="445">
        <f t="shared" si="12"/>
        <v>328317.49999999994</v>
      </c>
      <c r="L23" s="445">
        <f t="shared" si="12"/>
        <v>328317.49999999994</v>
      </c>
      <c r="M23" s="445">
        <f t="shared" si="12"/>
        <v>328317.49999999994</v>
      </c>
      <c r="N23" s="445">
        <f t="shared" si="12"/>
        <v>328317.49999999994</v>
      </c>
      <c r="O23" s="445">
        <f t="shared" si="12"/>
        <v>328317.49999999994</v>
      </c>
      <c r="P23" s="85"/>
      <c r="Q23" s="85"/>
      <c r="R23" s="85"/>
      <c r="S23" s="85"/>
      <c r="T23" s="85"/>
    </row>
    <row r="24" spans="1:20" ht="12.75" x14ac:dyDescent="0.2">
      <c r="A24" s="447" t="s">
        <v>305</v>
      </c>
      <c r="B24" s="445">
        <f t="shared" ref="B24:O24" si="13">+B23*B13/1000000</f>
        <v>2462.3812499999995</v>
      </c>
      <c r="C24" s="445">
        <f t="shared" si="13"/>
        <v>2462.3812499999995</v>
      </c>
      <c r="D24" s="445">
        <f t="shared" si="13"/>
        <v>2462.3812499999995</v>
      </c>
      <c r="E24" s="445">
        <f t="shared" si="13"/>
        <v>2462.3812499999995</v>
      </c>
      <c r="F24" s="445">
        <f t="shared" si="13"/>
        <v>2462.3812499999995</v>
      </c>
      <c r="G24" s="445">
        <f t="shared" si="13"/>
        <v>2462.3812499999995</v>
      </c>
      <c r="H24" s="445">
        <f t="shared" si="13"/>
        <v>2462.3812499999995</v>
      </c>
      <c r="I24" s="445">
        <f t="shared" si="13"/>
        <v>2462.3812499999995</v>
      </c>
      <c r="J24" s="445">
        <f t="shared" si="13"/>
        <v>2462.3812499999995</v>
      </c>
      <c r="K24" s="445">
        <f t="shared" si="13"/>
        <v>2462.3812499999995</v>
      </c>
      <c r="L24" s="445">
        <f t="shared" si="13"/>
        <v>2462.3812499999995</v>
      </c>
      <c r="M24" s="445">
        <f t="shared" si="13"/>
        <v>2462.3812499999995</v>
      </c>
      <c r="N24" s="445">
        <f t="shared" si="13"/>
        <v>2462.3812499999995</v>
      </c>
      <c r="O24" s="445">
        <f t="shared" si="13"/>
        <v>2462.3812499999995</v>
      </c>
      <c r="P24" s="85"/>
      <c r="Q24" s="85"/>
      <c r="R24" s="85"/>
      <c r="S24" s="85"/>
      <c r="T24" s="85"/>
    </row>
    <row r="25" spans="1:20" ht="12.75" x14ac:dyDescent="0.2">
      <c r="A25" s="447" t="s">
        <v>241</v>
      </c>
      <c r="B25" s="445">
        <f t="shared" ref="B25:O25" si="14">B19-B21</f>
        <v>30533.018867924693</v>
      </c>
      <c r="C25" s="445">
        <f t="shared" si="14"/>
        <v>30533.018867924693</v>
      </c>
      <c r="D25" s="445">
        <f t="shared" si="14"/>
        <v>30533.018867924693</v>
      </c>
      <c r="E25" s="445">
        <f t="shared" si="14"/>
        <v>30533.018867924693</v>
      </c>
      <c r="F25" s="445">
        <f t="shared" si="14"/>
        <v>30533.018867924693</v>
      </c>
      <c r="G25" s="445">
        <f t="shared" si="14"/>
        <v>30533.018867924693</v>
      </c>
      <c r="H25" s="445">
        <f t="shared" si="14"/>
        <v>30533.018867924693</v>
      </c>
      <c r="I25" s="445">
        <f t="shared" si="14"/>
        <v>30533.018867924693</v>
      </c>
      <c r="J25" s="445">
        <f t="shared" si="14"/>
        <v>30533.018867924693</v>
      </c>
      <c r="K25" s="445">
        <f t="shared" si="14"/>
        <v>30533.018867924693</v>
      </c>
      <c r="L25" s="445">
        <f t="shared" si="14"/>
        <v>30533.018867924693</v>
      </c>
      <c r="M25" s="445">
        <f t="shared" si="14"/>
        <v>30533.018867924693</v>
      </c>
      <c r="N25" s="445">
        <f t="shared" si="14"/>
        <v>30533.018867924693</v>
      </c>
      <c r="O25" s="445">
        <f t="shared" si="14"/>
        <v>30533.018867924693</v>
      </c>
      <c r="P25" s="85"/>
      <c r="Q25" s="85"/>
      <c r="R25" s="85"/>
      <c r="S25" s="85"/>
      <c r="T25" s="85"/>
    </row>
    <row r="26" spans="1:20" ht="12.75" x14ac:dyDescent="0.2">
      <c r="A26" s="320" t="s">
        <v>76</v>
      </c>
      <c r="B26" s="445">
        <f>+C4+B14-B15</f>
        <v>2570</v>
      </c>
      <c r="C26" s="445">
        <f>+B26+C14-C15</f>
        <v>2570</v>
      </c>
      <c r="D26" s="445">
        <f t="shared" ref="D26:O26" si="15">+C26+D14-D15</f>
        <v>2570</v>
      </c>
      <c r="E26" s="445">
        <f t="shared" si="15"/>
        <v>2570</v>
      </c>
      <c r="F26" s="445">
        <f t="shared" si="15"/>
        <v>2570</v>
      </c>
      <c r="G26" s="445">
        <f t="shared" si="15"/>
        <v>2570</v>
      </c>
      <c r="H26" s="445">
        <f t="shared" si="15"/>
        <v>2570</v>
      </c>
      <c r="I26" s="445">
        <f t="shared" si="15"/>
        <v>2570</v>
      </c>
      <c r="J26" s="445">
        <f t="shared" si="15"/>
        <v>2570</v>
      </c>
      <c r="K26" s="445">
        <f t="shared" si="15"/>
        <v>2570</v>
      </c>
      <c r="L26" s="445">
        <f t="shared" si="15"/>
        <v>2570</v>
      </c>
      <c r="M26" s="445">
        <f t="shared" si="15"/>
        <v>2570</v>
      </c>
      <c r="N26" s="445">
        <f t="shared" si="15"/>
        <v>2570</v>
      </c>
      <c r="O26" s="445">
        <f t="shared" si="15"/>
        <v>2570</v>
      </c>
      <c r="P26" s="85"/>
      <c r="Q26" s="85"/>
      <c r="R26" s="85"/>
      <c r="S26" s="85"/>
      <c r="T26" s="85"/>
    </row>
    <row r="27" spans="1:20" ht="12.75" x14ac:dyDescent="0.2">
      <c r="A27" s="321"/>
      <c r="B27" s="244"/>
      <c r="C27" s="244"/>
      <c r="D27" s="244"/>
      <c r="E27" s="244"/>
      <c r="F27" s="244"/>
      <c r="G27" s="244"/>
      <c r="H27" s="244"/>
      <c r="I27" s="244"/>
      <c r="J27" s="244"/>
      <c r="K27" s="244"/>
      <c r="L27" s="244"/>
      <c r="M27" s="244"/>
      <c r="N27" s="244"/>
      <c r="O27" s="244"/>
      <c r="P27" s="85"/>
      <c r="Q27" s="85"/>
      <c r="R27" s="85"/>
      <c r="S27" s="85"/>
      <c r="T27" s="85"/>
    </row>
    <row r="28" spans="1:20" ht="23.25" x14ac:dyDescent="0.35">
      <c r="A28" s="285" t="s">
        <v>242</v>
      </c>
      <c r="B28" s="287">
        <f t="shared" ref="B28:O28" si="16">B3</f>
        <v>2018</v>
      </c>
      <c r="C28" s="287">
        <f t="shared" si="16"/>
        <v>2019</v>
      </c>
      <c r="D28" s="287">
        <f t="shared" si="16"/>
        <v>2020</v>
      </c>
      <c r="E28" s="287">
        <f t="shared" si="16"/>
        <v>2021</v>
      </c>
      <c r="F28" s="287">
        <f t="shared" si="16"/>
        <v>2022</v>
      </c>
      <c r="G28" s="287">
        <f t="shared" si="16"/>
        <v>2023</v>
      </c>
      <c r="H28" s="287">
        <f t="shared" si="16"/>
        <v>2024</v>
      </c>
      <c r="I28" s="287">
        <f t="shared" si="16"/>
        <v>2025</v>
      </c>
      <c r="J28" s="287">
        <f t="shared" si="16"/>
        <v>2026</v>
      </c>
      <c r="K28" s="287">
        <f t="shared" si="16"/>
        <v>2027</v>
      </c>
      <c r="L28" s="287">
        <f t="shared" si="16"/>
        <v>2028</v>
      </c>
      <c r="M28" s="287">
        <f t="shared" si="16"/>
        <v>2029</v>
      </c>
      <c r="N28" s="287">
        <f t="shared" si="16"/>
        <v>2030</v>
      </c>
      <c r="O28" s="287">
        <f t="shared" si="16"/>
        <v>2031</v>
      </c>
      <c r="P28" s="85"/>
      <c r="Q28" s="85"/>
      <c r="R28" s="85"/>
      <c r="S28" s="85"/>
      <c r="T28" s="85"/>
    </row>
    <row r="29" spans="1:20" ht="15.75" x14ac:dyDescent="0.25">
      <c r="A29" s="324" t="s">
        <v>243</v>
      </c>
      <c r="B29" s="293"/>
      <c r="C29" s="293"/>
      <c r="D29" s="293"/>
      <c r="E29" s="293"/>
      <c r="F29" s="293"/>
      <c r="G29" s="293"/>
      <c r="H29" s="293"/>
      <c r="I29" s="293"/>
      <c r="J29" s="293"/>
      <c r="K29" s="293"/>
      <c r="L29" s="293"/>
      <c r="M29" s="293"/>
      <c r="N29" s="293"/>
      <c r="O29" s="293"/>
      <c r="P29" s="85"/>
      <c r="Q29" s="85"/>
      <c r="R29" s="85"/>
      <c r="S29" s="85"/>
      <c r="T29" s="85"/>
    </row>
    <row r="30" spans="1:20" ht="12.75" x14ac:dyDescent="0.2">
      <c r="A30" s="311" t="s">
        <v>298</v>
      </c>
      <c r="B30" s="314">
        <v>575</v>
      </c>
      <c r="C30" s="314">
        <v>575</v>
      </c>
      <c r="D30" s="314">
        <v>575</v>
      </c>
      <c r="E30" s="314">
        <v>575</v>
      </c>
      <c r="F30" s="314">
        <v>575</v>
      </c>
      <c r="G30" s="314">
        <v>575</v>
      </c>
      <c r="H30" s="314">
        <v>575</v>
      </c>
      <c r="I30" s="314">
        <v>575</v>
      </c>
      <c r="J30" s="314">
        <v>575</v>
      </c>
      <c r="K30" s="314">
        <v>575</v>
      </c>
      <c r="L30" s="314">
        <v>575</v>
      </c>
      <c r="M30" s="314">
        <v>575</v>
      </c>
      <c r="N30" s="314">
        <v>575</v>
      </c>
      <c r="O30" s="314">
        <v>575</v>
      </c>
      <c r="P30" s="85"/>
      <c r="Q30" s="85"/>
      <c r="R30" s="85"/>
      <c r="S30" s="85"/>
      <c r="T30" s="85"/>
    </row>
    <row r="31" spans="1:20" ht="12.75" x14ac:dyDescent="0.2">
      <c r="A31" s="80" t="s">
        <v>294</v>
      </c>
      <c r="B31" s="244">
        <f>+B22*B30/1000000</f>
        <v>356.19351415094326</v>
      </c>
      <c r="C31" s="244">
        <f t="shared" ref="C31:O31" si="17">+C22*C30/1000000</f>
        <v>356.19351415094326</v>
      </c>
      <c r="D31" s="244">
        <f t="shared" si="17"/>
        <v>356.19351415094326</v>
      </c>
      <c r="E31" s="244">
        <f t="shared" si="17"/>
        <v>356.19351415094326</v>
      </c>
      <c r="F31" s="244">
        <f t="shared" si="17"/>
        <v>356.19351415094326</v>
      </c>
      <c r="G31" s="244">
        <f t="shared" si="17"/>
        <v>356.19351415094326</v>
      </c>
      <c r="H31" s="244">
        <f t="shared" si="17"/>
        <v>356.19351415094326</v>
      </c>
      <c r="I31" s="244">
        <f t="shared" si="17"/>
        <v>356.19351415094326</v>
      </c>
      <c r="J31" s="244">
        <f t="shared" si="17"/>
        <v>356.19351415094326</v>
      </c>
      <c r="K31" s="244">
        <f t="shared" si="17"/>
        <v>356.19351415094326</v>
      </c>
      <c r="L31" s="244">
        <f t="shared" si="17"/>
        <v>356.19351415094326</v>
      </c>
      <c r="M31" s="244">
        <f t="shared" si="17"/>
        <v>356.19351415094326</v>
      </c>
      <c r="N31" s="244">
        <f t="shared" si="17"/>
        <v>356.19351415094326</v>
      </c>
      <c r="O31" s="244">
        <f t="shared" si="17"/>
        <v>356.19351415094326</v>
      </c>
      <c r="P31" s="85"/>
      <c r="Q31" s="85"/>
      <c r="R31" s="85"/>
      <c r="S31" s="85"/>
      <c r="T31" s="85"/>
    </row>
    <row r="32" spans="1:20" ht="12.75" x14ac:dyDescent="0.2">
      <c r="A32" s="307"/>
      <c r="B32" s="293"/>
      <c r="C32" s="293"/>
      <c r="D32" s="293"/>
      <c r="E32" s="293"/>
      <c r="F32" s="293"/>
      <c r="G32" s="293"/>
      <c r="H32" s="293"/>
      <c r="I32" s="293"/>
      <c r="J32" s="293"/>
      <c r="K32" s="293"/>
      <c r="L32" s="293"/>
      <c r="M32" s="293"/>
      <c r="N32" s="293"/>
      <c r="O32" s="293"/>
      <c r="P32" s="85"/>
      <c r="Q32" s="85"/>
      <c r="R32" s="85"/>
      <c r="S32" s="85"/>
      <c r="T32" s="85"/>
    </row>
    <row r="33" spans="1:20" ht="15.75" x14ac:dyDescent="0.25">
      <c r="A33" s="324" t="s">
        <v>103</v>
      </c>
      <c r="B33" s="293"/>
      <c r="C33" s="293"/>
      <c r="D33" s="293"/>
      <c r="E33" s="293"/>
      <c r="F33" s="293"/>
      <c r="G33" s="293"/>
      <c r="H33" s="293"/>
      <c r="I33" s="293"/>
      <c r="J33" s="293"/>
      <c r="K33" s="293"/>
      <c r="L33" s="293"/>
      <c r="M33" s="293"/>
      <c r="N33" s="293"/>
      <c r="O33" s="293"/>
      <c r="P33" s="85"/>
      <c r="Q33" s="85"/>
      <c r="R33" s="85"/>
      <c r="S33" s="85"/>
      <c r="T33" s="85"/>
    </row>
    <row r="34" spans="1:20" ht="12.75" x14ac:dyDescent="0.2">
      <c r="A34" s="312" t="s">
        <v>295</v>
      </c>
      <c r="B34" s="316">
        <v>15</v>
      </c>
      <c r="C34" s="316">
        <v>15</v>
      </c>
      <c r="D34" s="316">
        <v>15</v>
      </c>
      <c r="E34" s="316">
        <v>15</v>
      </c>
      <c r="F34" s="316">
        <v>15</v>
      </c>
      <c r="G34" s="316">
        <v>15</v>
      </c>
      <c r="H34" s="316">
        <v>15</v>
      </c>
      <c r="I34" s="316">
        <v>15</v>
      </c>
      <c r="J34" s="316">
        <v>15</v>
      </c>
      <c r="K34" s="316">
        <v>15</v>
      </c>
      <c r="L34" s="316">
        <v>15</v>
      </c>
      <c r="M34" s="316">
        <v>15</v>
      </c>
      <c r="N34" s="316">
        <v>15</v>
      </c>
      <c r="O34" s="316">
        <v>15</v>
      </c>
      <c r="P34" s="85"/>
      <c r="Q34" s="85"/>
      <c r="R34" s="85"/>
      <c r="S34" s="85"/>
      <c r="T34" s="85"/>
    </row>
    <row r="35" spans="1:20" ht="12.75" x14ac:dyDescent="0.2">
      <c r="A35" s="80" t="s">
        <v>296</v>
      </c>
      <c r="B35" s="244">
        <f t="shared" ref="B35:O35" si="18">B22*B34/1000000</f>
        <v>9.2920047169811291</v>
      </c>
      <c r="C35" s="244">
        <f t="shared" si="18"/>
        <v>9.2920047169811291</v>
      </c>
      <c r="D35" s="244">
        <f t="shared" si="18"/>
        <v>9.2920047169811291</v>
      </c>
      <c r="E35" s="244">
        <f t="shared" si="18"/>
        <v>9.2920047169811291</v>
      </c>
      <c r="F35" s="244">
        <f t="shared" si="18"/>
        <v>9.2920047169811291</v>
      </c>
      <c r="G35" s="244">
        <f t="shared" si="18"/>
        <v>9.2920047169811291</v>
      </c>
      <c r="H35" s="244">
        <f t="shared" si="18"/>
        <v>9.2920047169811291</v>
      </c>
      <c r="I35" s="244">
        <f t="shared" si="18"/>
        <v>9.2920047169811291</v>
      </c>
      <c r="J35" s="244">
        <f t="shared" si="18"/>
        <v>9.2920047169811291</v>
      </c>
      <c r="K35" s="244">
        <f t="shared" si="18"/>
        <v>9.2920047169811291</v>
      </c>
      <c r="L35" s="244">
        <f t="shared" si="18"/>
        <v>9.2920047169811291</v>
      </c>
      <c r="M35" s="244">
        <f t="shared" si="18"/>
        <v>9.2920047169811291</v>
      </c>
      <c r="N35" s="244">
        <f t="shared" si="18"/>
        <v>9.2920047169811291</v>
      </c>
      <c r="O35" s="244">
        <f t="shared" si="18"/>
        <v>9.2920047169811291</v>
      </c>
      <c r="P35" s="85"/>
      <c r="Q35" s="85"/>
      <c r="R35" s="85"/>
      <c r="S35" s="85"/>
      <c r="T35" s="85"/>
    </row>
    <row r="36" spans="1:20" ht="12.75" x14ac:dyDescent="0.2">
      <c r="A36" s="325"/>
      <c r="B36" s="293"/>
      <c r="C36" s="293"/>
      <c r="D36" s="293"/>
      <c r="E36" s="293"/>
      <c r="F36" s="293"/>
      <c r="G36" s="293"/>
      <c r="H36" s="293"/>
      <c r="I36" s="293"/>
      <c r="J36" s="293"/>
      <c r="K36" s="293"/>
      <c r="L36" s="293"/>
      <c r="M36" s="293"/>
      <c r="N36" s="293"/>
      <c r="O36" s="293"/>
      <c r="P36" s="85"/>
      <c r="Q36" s="85"/>
      <c r="R36" s="85"/>
      <c r="S36" s="85"/>
      <c r="T36" s="85"/>
    </row>
    <row r="37" spans="1:20" ht="15.75" x14ac:dyDescent="0.25">
      <c r="A37" s="84" t="s">
        <v>106</v>
      </c>
      <c r="B37" s="244"/>
      <c r="C37" s="293"/>
      <c r="D37" s="293"/>
      <c r="E37" s="293"/>
      <c r="F37" s="293"/>
      <c r="G37" s="293"/>
      <c r="H37" s="293"/>
      <c r="I37" s="293"/>
      <c r="J37" s="293"/>
      <c r="K37" s="293"/>
      <c r="L37" s="293"/>
      <c r="M37" s="293"/>
      <c r="N37" s="293"/>
      <c r="O37" s="293"/>
      <c r="P37" s="85"/>
      <c r="Q37" s="85"/>
      <c r="R37" s="85"/>
      <c r="S37" s="85"/>
      <c r="T37" s="85"/>
    </row>
    <row r="38" spans="1:20" ht="12.75" x14ac:dyDescent="0.2">
      <c r="A38" s="311" t="s">
        <v>107</v>
      </c>
      <c r="B38" s="316">
        <v>25</v>
      </c>
      <c r="C38" s="316">
        <v>25</v>
      </c>
      <c r="D38" s="316">
        <v>25</v>
      </c>
      <c r="E38" s="316">
        <v>25</v>
      </c>
      <c r="F38" s="316">
        <v>25</v>
      </c>
      <c r="G38" s="316">
        <v>25</v>
      </c>
      <c r="H38" s="316">
        <v>25</v>
      </c>
      <c r="I38" s="316">
        <v>25</v>
      </c>
      <c r="J38" s="316">
        <v>25</v>
      </c>
      <c r="K38" s="316">
        <v>25</v>
      </c>
      <c r="L38" s="316">
        <v>25</v>
      </c>
      <c r="M38" s="316">
        <v>25</v>
      </c>
      <c r="N38" s="316">
        <v>25</v>
      </c>
      <c r="O38" s="316">
        <v>25</v>
      </c>
      <c r="P38" s="85"/>
      <c r="Q38" s="85"/>
      <c r="R38" s="85"/>
      <c r="S38" s="85"/>
      <c r="T38" s="85"/>
    </row>
    <row r="39" spans="1:20" ht="12.75" x14ac:dyDescent="0.2">
      <c r="A39" s="311" t="s">
        <v>299</v>
      </c>
      <c r="B39" s="316">
        <v>827132</v>
      </c>
      <c r="C39" s="316">
        <v>827132</v>
      </c>
      <c r="D39" s="316">
        <v>827132</v>
      </c>
      <c r="E39" s="316">
        <v>827132</v>
      </c>
      <c r="F39" s="316">
        <v>827132</v>
      </c>
      <c r="G39" s="316">
        <v>827132</v>
      </c>
      <c r="H39" s="316">
        <v>827132</v>
      </c>
      <c r="I39" s="316">
        <v>827132</v>
      </c>
      <c r="J39" s="316">
        <v>827132</v>
      </c>
      <c r="K39" s="316">
        <v>827132</v>
      </c>
      <c r="L39" s="316">
        <v>827132</v>
      </c>
      <c r="M39" s="316">
        <v>827132</v>
      </c>
      <c r="N39" s="316">
        <v>827132</v>
      </c>
      <c r="O39" s="316">
        <v>827132</v>
      </c>
      <c r="P39" s="85"/>
      <c r="Q39" s="85"/>
      <c r="R39" s="85"/>
      <c r="S39" s="85"/>
      <c r="T39" s="85"/>
    </row>
    <row r="40" spans="1:20" ht="12.75" x14ac:dyDescent="0.2">
      <c r="A40" s="81" t="s">
        <v>108</v>
      </c>
      <c r="B40" s="83">
        <f t="shared" ref="B40:O40" si="19">B26/B38</f>
        <v>102.8</v>
      </c>
      <c r="C40" s="83">
        <f t="shared" si="19"/>
        <v>102.8</v>
      </c>
      <c r="D40" s="83">
        <f t="shared" si="19"/>
        <v>102.8</v>
      </c>
      <c r="E40" s="83">
        <f t="shared" si="19"/>
        <v>102.8</v>
      </c>
      <c r="F40" s="83">
        <f t="shared" si="19"/>
        <v>102.8</v>
      </c>
      <c r="G40" s="83">
        <f t="shared" si="19"/>
        <v>102.8</v>
      </c>
      <c r="H40" s="83">
        <f t="shared" si="19"/>
        <v>102.8</v>
      </c>
      <c r="I40" s="83">
        <f t="shared" si="19"/>
        <v>102.8</v>
      </c>
      <c r="J40" s="83">
        <f t="shared" si="19"/>
        <v>102.8</v>
      </c>
      <c r="K40" s="83">
        <f t="shared" si="19"/>
        <v>102.8</v>
      </c>
      <c r="L40" s="83">
        <f t="shared" si="19"/>
        <v>102.8</v>
      </c>
      <c r="M40" s="83">
        <f t="shared" si="19"/>
        <v>102.8</v>
      </c>
      <c r="N40" s="83">
        <f t="shared" si="19"/>
        <v>102.8</v>
      </c>
      <c r="O40" s="83">
        <f t="shared" si="19"/>
        <v>102.8</v>
      </c>
      <c r="P40" s="85"/>
      <c r="Q40" s="85"/>
      <c r="R40" s="85"/>
      <c r="S40" s="85"/>
      <c r="T40" s="85"/>
    </row>
    <row r="41" spans="1:20" ht="12.75" x14ac:dyDescent="0.2">
      <c r="A41" s="80" t="s">
        <v>300</v>
      </c>
      <c r="B41" s="244">
        <f>(B38*B39*12)/1000000</f>
        <v>248.1396</v>
      </c>
      <c r="C41" s="244">
        <f t="shared" ref="C41:O41" si="20">(C38*C39*12)/1000000</f>
        <v>248.1396</v>
      </c>
      <c r="D41" s="244">
        <f t="shared" si="20"/>
        <v>248.1396</v>
      </c>
      <c r="E41" s="244">
        <f t="shared" si="20"/>
        <v>248.1396</v>
      </c>
      <c r="F41" s="244">
        <f t="shared" si="20"/>
        <v>248.1396</v>
      </c>
      <c r="G41" s="244">
        <f t="shared" si="20"/>
        <v>248.1396</v>
      </c>
      <c r="H41" s="244">
        <f t="shared" si="20"/>
        <v>248.1396</v>
      </c>
      <c r="I41" s="244">
        <f t="shared" si="20"/>
        <v>248.1396</v>
      </c>
      <c r="J41" s="244">
        <f t="shared" si="20"/>
        <v>248.1396</v>
      </c>
      <c r="K41" s="244">
        <f t="shared" si="20"/>
        <v>248.1396</v>
      </c>
      <c r="L41" s="244">
        <f t="shared" si="20"/>
        <v>248.1396</v>
      </c>
      <c r="M41" s="244">
        <f t="shared" si="20"/>
        <v>248.1396</v>
      </c>
      <c r="N41" s="244">
        <f t="shared" si="20"/>
        <v>248.1396</v>
      </c>
      <c r="O41" s="244">
        <f t="shared" si="20"/>
        <v>248.1396</v>
      </c>
      <c r="P41" s="85"/>
      <c r="Q41" s="85"/>
      <c r="R41" s="85"/>
      <c r="S41" s="85"/>
      <c r="T41" s="85"/>
    </row>
    <row r="42" spans="1:20" ht="12.75" x14ac:dyDescent="0.2">
      <c r="A42" s="325"/>
      <c r="B42" s="293"/>
      <c r="C42" s="293"/>
      <c r="D42" s="293"/>
      <c r="E42" s="293"/>
      <c r="F42" s="293"/>
      <c r="G42" s="293"/>
      <c r="H42" s="293"/>
      <c r="I42" s="293"/>
      <c r="J42" s="293"/>
      <c r="K42" s="293"/>
      <c r="L42" s="293"/>
      <c r="M42" s="293"/>
      <c r="N42" s="293"/>
      <c r="O42" s="293"/>
      <c r="P42" s="85"/>
      <c r="Q42" s="85"/>
      <c r="R42" s="85"/>
      <c r="S42" s="85"/>
      <c r="T42" s="85"/>
    </row>
    <row r="43" spans="1:20" ht="15.75" x14ac:dyDescent="0.25">
      <c r="A43" s="243" t="s">
        <v>104</v>
      </c>
      <c r="B43" s="244"/>
      <c r="C43" s="244"/>
      <c r="D43" s="244"/>
      <c r="E43" s="244"/>
      <c r="F43" s="244"/>
      <c r="G43" s="244"/>
      <c r="H43" s="244"/>
      <c r="I43" s="244"/>
      <c r="J43" s="244"/>
      <c r="K43" s="244"/>
      <c r="L43" s="244"/>
      <c r="M43" s="244"/>
      <c r="N43" s="244"/>
      <c r="O43" s="244"/>
      <c r="P43" s="85"/>
      <c r="Q43" s="85"/>
      <c r="R43" s="85"/>
      <c r="S43" s="85"/>
      <c r="T43" s="85"/>
    </row>
    <row r="44" spans="1:20" ht="12.75" x14ac:dyDescent="0.2">
      <c r="A44" s="311" t="s">
        <v>260</v>
      </c>
      <c r="B44" s="316">
        <v>10</v>
      </c>
      <c r="C44" s="316">
        <v>10</v>
      </c>
      <c r="D44" s="316">
        <v>10</v>
      </c>
      <c r="E44" s="316">
        <v>10</v>
      </c>
      <c r="F44" s="316">
        <v>10</v>
      </c>
      <c r="G44" s="316">
        <v>10</v>
      </c>
      <c r="H44" s="316">
        <v>10</v>
      </c>
      <c r="I44" s="316">
        <v>10</v>
      </c>
      <c r="J44" s="316">
        <v>10</v>
      </c>
      <c r="K44" s="316">
        <v>10</v>
      </c>
      <c r="L44" s="316">
        <v>10</v>
      </c>
      <c r="M44" s="316">
        <v>10</v>
      </c>
      <c r="N44" s="316">
        <v>10</v>
      </c>
      <c r="O44" s="316">
        <v>10</v>
      </c>
      <c r="P44" s="85"/>
      <c r="Q44" s="85"/>
      <c r="R44" s="85"/>
      <c r="S44" s="85"/>
      <c r="T44" s="85"/>
    </row>
    <row r="45" spans="1:20" ht="12.75" x14ac:dyDescent="0.2">
      <c r="A45" s="311" t="s">
        <v>301</v>
      </c>
      <c r="B45" s="316">
        <v>1150000</v>
      </c>
      <c r="C45" s="316">
        <v>1150000</v>
      </c>
      <c r="D45" s="316">
        <v>1150000</v>
      </c>
      <c r="E45" s="316">
        <v>1150000</v>
      </c>
      <c r="F45" s="316">
        <v>1150000</v>
      </c>
      <c r="G45" s="316">
        <v>1150000</v>
      </c>
      <c r="H45" s="316">
        <v>1150000</v>
      </c>
      <c r="I45" s="316">
        <v>1150000</v>
      </c>
      <c r="J45" s="316">
        <v>1150000</v>
      </c>
      <c r="K45" s="316">
        <v>1150000</v>
      </c>
      <c r="L45" s="316">
        <v>1150000</v>
      </c>
      <c r="M45" s="316">
        <v>1150000</v>
      </c>
      <c r="N45" s="316">
        <v>1150000</v>
      </c>
      <c r="O45" s="316">
        <v>1150000</v>
      </c>
      <c r="P45" s="85"/>
      <c r="Q45" s="85"/>
      <c r="R45" s="85"/>
      <c r="S45" s="85"/>
      <c r="T45" s="85"/>
    </row>
    <row r="46" spans="1:20" ht="12.75" x14ac:dyDescent="0.2">
      <c r="A46" s="81" t="s">
        <v>259</v>
      </c>
      <c r="B46" s="83">
        <f>B44*B45/100000</f>
        <v>115</v>
      </c>
      <c r="C46" s="83">
        <f t="shared" ref="C46:O46" si="21">C44*C45/100000</f>
        <v>115</v>
      </c>
      <c r="D46" s="83">
        <f t="shared" si="21"/>
        <v>115</v>
      </c>
      <c r="E46" s="83">
        <f t="shared" si="21"/>
        <v>115</v>
      </c>
      <c r="F46" s="83">
        <f t="shared" si="21"/>
        <v>115</v>
      </c>
      <c r="G46" s="83">
        <f t="shared" si="21"/>
        <v>115</v>
      </c>
      <c r="H46" s="83">
        <f t="shared" si="21"/>
        <v>115</v>
      </c>
      <c r="I46" s="83">
        <f t="shared" si="21"/>
        <v>115</v>
      </c>
      <c r="J46" s="83">
        <f t="shared" si="21"/>
        <v>115</v>
      </c>
      <c r="K46" s="83">
        <f t="shared" si="21"/>
        <v>115</v>
      </c>
      <c r="L46" s="83">
        <f t="shared" si="21"/>
        <v>115</v>
      </c>
      <c r="M46" s="83">
        <f t="shared" si="21"/>
        <v>115</v>
      </c>
      <c r="N46" s="83">
        <f t="shared" si="21"/>
        <v>115</v>
      </c>
      <c r="O46" s="83">
        <f t="shared" si="21"/>
        <v>115</v>
      </c>
      <c r="P46" s="85"/>
      <c r="Q46" s="85"/>
      <c r="R46" s="85"/>
      <c r="S46" s="85"/>
      <c r="T46" s="85"/>
    </row>
    <row r="47" spans="1:20" ht="12.75" x14ac:dyDescent="0.2">
      <c r="A47" s="325"/>
      <c r="B47" s="293"/>
      <c r="C47" s="293"/>
      <c r="D47" s="293"/>
      <c r="E47" s="293"/>
      <c r="F47" s="293"/>
      <c r="G47" s="293"/>
      <c r="H47" s="293"/>
      <c r="I47" s="293"/>
      <c r="J47" s="293"/>
      <c r="K47" s="293"/>
      <c r="L47" s="293"/>
      <c r="M47" s="293"/>
      <c r="N47" s="293"/>
      <c r="O47" s="293"/>
      <c r="P47" s="85"/>
      <c r="Q47" s="85"/>
      <c r="R47" s="85"/>
      <c r="S47" s="85"/>
      <c r="T47" s="85"/>
    </row>
    <row r="48" spans="1:20" ht="15.75" x14ac:dyDescent="0.25">
      <c r="A48" s="243" t="s">
        <v>277</v>
      </c>
      <c r="B48" s="244"/>
      <c r="C48" s="244"/>
      <c r="D48" s="244"/>
      <c r="E48" s="244"/>
      <c r="F48" s="244"/>
      <c r="G48" s="244"/>
      <c r="H48" s="244"/>
      <c r="I48" s="244"/>
      <c r="J48" s="244"/>
      <c r="K48" s="244"/>
      <c r="L48" s="244"/>
      <c r="M48" s="244"/>
      <c r="N48" s="244"/>
      <c r="O48" s="244"/>
      <c r="P48" s="85"/>
      <c r="Q48" s="85"/>
      <c r="R48" s="85"/>
      <c r="S48" s="85"/>
      <c r="T48" s="85"/>
    </row>
    <row r="49" spans="1:20" ht="12.75" x14ac:dyDescent="0.2">
      <c r="A49" s="311" t="s">
        <v>302</v>
      </c>
      <c r="B49" s="346">
        <v>0.02</v>
      </c>
      <c r="C49" s="346">
        <v>0.02</v>
      </c>
      <c r="D49" s="346">
        <v>0.02</v>
      </c>
      <c r="E49" s="346">
        <v>0.02</v>
      </c>
      <c r="F49" s="346">
        <v>0.02</v>
      </c>
      <c r="G49" s="346">
        <v>0.02</v>
      </c>
      <c r="H49" s="346">
        <v>0.02</v>
      </c>
      <c r="I49" s="346">
        <v>0.02</v>
      </c>
      <c r="J49" s="346">
        <v>0.02</v>
      </c>
      <c r="K49" s="346">
        <v>0.02</v>
      </c>
      <c r="L49" s="346">
        <v>0.02</v>
      </c>
      <c r="M49" s="346">
        <v>0.02</v>
      </c>
      <c r="N49" s="346">
        <v>0.02</v>
      </c>
      <c r="O49" s="346">
        <v>0.02</v>
      </c>
      <c r="P49" s="85"/>
      <c r="Q49" s="85"/>
      <c r="R49" s="85"/>
      <c r="S49" s="85"/>
      <c r="T49" s="85"/>
    </row>
    <row r="50" spans="1:20" ht="12.75" x14ac:dyDescent="0.2">
      <c r="A50" s="81" t="s">
        <v>244</v>
      </c>
      <c r="B50" s="371">
        <f>'Output Statements'!B144</f>
        <v>8781.5</v>
      </c>
      <c r="C50" s="371">
        <f>'Output Statements'!C144</f>
        <v>8463</v>
      </c>
      <c r="D50" s="371">
        <f>'Output Statements'!D144</f>
        <v>8144.5</v>
      </c>
      <c r="E50" s="371">
        <f>'Output Statements'!E144</f>
        <v>7826</v>
      </c>
      <c r="F50" s="371">
        <f>'Output Statements'!F144</f>
        <v>7507.5</v>
      </c>
      <c r="G50" s="371">
        <f>'Output Statements'!G144</f>
        <v>7189</v>
      </c>
      <c r="H50" s="371">
        <f>'Output Statements'!H144</f>
        <v>6870.5</v>
      </c>
      <c r="I50" s="371">
        <f>'Output Statements'!I144</f>
        <v>6552</v>
      </c>
      <c r="J50" s="371">
        <f>'Output Statements'!J144</f>
        <v>6233.5</v>
      </c>
      <c r="K50" s="371">
        <f>'Output Statements'!K144</f>
        <v>5915</v>
      </c>
      <c r="L50" s="371">
        <f>'Output Statements'!L144</f>
        <v>5596.5</v>
      </c>
      <c r="M50" s="371">
        <f>'Output Statements'!M144</f>
        <v>5278</v>
      </c>
      <c r="N50" s="371">
        <f>'Output Statements'!N144</f>
        <v>4959.4999999999991</v>
      </c>
      <c r="O50" s="371">
        <f>'Output Statements'!O144</f>
        <v>4640.9999999999991</v>
      </c>
      <c r="P50" s="85"/>
      <c r="Q50" s="85"/>
      <c r="R50" s="85"/>
      <c r="S50" s="85"/>
      <c r="T50" s="85"/>
    </row>
    <row r="51" spans="1:20" ht="12.75" x14ac:dyDescent="0.2">
      <c r="A51" s="80" t="s">
        <v>105</v>
      </c>
      <c r="B51" s="244">
        <f>B50*B49</f>
        <v>175.63</v>
      </c>
      <c r="C51" s="244">
        <f t="shared" ref="C51:O51" si="22">C49*C50</f>
        <v>169.26</v>
      </c>
      <c r="D51" s="244">
        <f t="shared" si="22"/>
        <v>162.89000000000001</v>
      </c>
      <c r="E51" s="244">
        <f t="shared" si="22"/>
        <v>156.52000000000001</v>
      </c>
      <c r="F51" s="244">
        <f t="shared" si="22"/>
        <v>150.15</v>
      </c>
      <c r="G51" s="244">
        <f t="shared" si="22"/>
        <v>143.78</v>
      </c>
      <c r="H51" s="244">
        <f t="shared" si="22"/>
        <v>137.41</v>
      </c>
      <c r="I51" s="244">
        <f t="shared" si="22"/>
        <v>131.04</v>
      </c>
      <c r="J51" s="244">
        <f t="shared" si="22"/>
        <v>124.67</v>
      </c>
      <c r="K51" s="244">
        <f t="shared" si="22"/>
        <v>118.3</v>
      </c>
      <c r="L51" s="244">
        <f t="shared" si="22"/>
        <v>111.93</v>
      </c>
      <c r="M51" s="244">
        <f t="shared" si="22"/>
        <v>105.56</v>
      </c>
      <c r="N51" s="244">
        <f t="shared" si="22"/>
        <v>99.189999999999984</v>
      </c>
      <c r="O51" s="244">
        <f t="shared" si="22"/>
        <v>92.819999999999979</v>
      </c>
      <c r="P51" s="85"/>
      <c r="Q51" s="85"/>
      <c r="R51" s="85"/>
      <c r="S51" s="85"/>
      <c r="T51" s="85"/>
    </row>
    <row r="52" spans="1:20" ht="12.75" x14ac:dyDescent="0.2">
      <c r="A52" s="325"/>
      <c r="B52" s="293"/>
      <c r="C52" s="293"/>
      <c r="D52" s="293"/>
      <c r="E52" s="293"/>
      <c r="F52" s="293"/>
      <c r="G52" s="293"/>
      <c r="H52" s="293"/>
      <c r="I52" s="293"/>
      <c r="J52" s="293"/>
      <c r="K52" s="293"/>
      <c r="L52" s="293"/>
      <c r="M52" s="293"/>
      <c r="N52" s="293"/>
      <c r="O52" s="293"/>
      <c r="P52" s="85"/>
      <c r="Q52" s="85"/>
      <c r="R52" s="85"/>
      <c r="S52" s="85"/>
      <c r="T52" s="85"/>
    </row>
    <row r="53" spans="1:20" ht="15.75" x14ac:dyDescent="0.25">
      <c r="A53" s="84" t="s">
        <v>109</v>
      </c>
      <c r="B53" s="244"/>
      <c r="C53" s="244"/>
      <c r="D53" s="244"/>
      <c r="E53" s="244"/>
      <c r="F53" s="244"/>
      <c r="G53" s="244"/>
      <c r="H53" s="244"/>
      <c r="I53" s="244"/>
      <c r="J53" s="244"/>
      <c r="K53" s="244"/>
      <c r="L53" s="244"/>
      <c r="M53" s="244"/>
      <c r="N53" s="244"/>
      <c r="O53" s="244"/>
      <c r="P53" s="85"/>
      <c r="Q53" s="85"/>
      <c r="R53" s="85"/>
      <c r="S53" s="85"/>
      <c r="T53" s="85"/>
    </row>
    <row r="54" spans="1:20" ht="12.75" x14ac:dyDescent="0.2">
      <c r="A54" s="310" t="s">
        <v>278</v>
      </c>
      <c r="B54" s="347">
        <v>0.25</v>
      </c>
      <c r="C54" s="347">
        <v>0.25</v>
      </c>
      <c r="D54" s="347">
        <v>0.25</v>
      </c>
      <c r="E54" s="347">
        <v>0.25</v>
      </c>
      <c r="F54" s="347">
        <v>0.25</v>
      </c>
      <c r="G54" s="347">
        <v>0.25</v>
      </c>
      <c r="H54" s="347">
        <v>0.25</v>
      </c>
      <c r="I54" s="347">
        <v>0.25</v>
      </c>
      <c r="J54" s="347">
        <v>0.25</v>
      </c>
      <c r="K54" s="347">
        <v>0.25</v>
      </c>
      <c r="L54" s="347">
        <v>0.25</v>
      </c>
      <c r="M54" s="347">
        <v>0.25</v>
      </c>
      <c r="N54" s="347">
        <v>0.25</v>
      </c>
      <c r="O54" s="347">
        <v>0.25</v>
      </c>
      <c r="P54" s="85"/>
      <c r="Q54" s="85"/>
      <c r="R54" s="85"/>
      <c r="S54" s="85"/>
      <c r="T54" s="85"/>
    </row>
    <row r="55" spans="1:20" ht="12.75" x14ac:dyDescent="0.2">
      <c r="A55" s="80" t="s">
        <v>303</v>
      </c>
      <c r="B55" s="244">
        <f>(B31+B35+B41+B51)*B54</f>
        <v>197.31377971698109</v>
      </c>
      <c r="C55" s="244">
        <f t="shared" ref="C55:O55" si="23">(C31+C35+C41+C51)*C54</f>
        <v>195.72127971698109</v>
      </c>
      <c r="D55" s="244">
        <f t="shared" si="23"/>
        <v>194.12877971698109</v>
      </c>
      <c r="E55" s="244">
        <f t="shared" si="23"/>
        <v>192.53627971698108</v>
      </c>
      <c r="F55" s="244">
        <f t="shared" si="23"/>
        <v>190.94377971698108</v>
      </c>
      <c r="G55" s="244">
        <f t="shared" si="23"/>
        <v>189.35127971698108</v>
      </c>
      <c r="H55" s="244">
        <f t="shared" si="23"/>
        <v>187.75877971698108</v>
      </c>
      <c r="I55" s="244">
        <f t="shared" si="23"/>
        <v>186.16627971698108</v>
      </c>
      <c r="J55" s="244">
        <f t="shared" si="23"/>
        <v>184.57377971698108</v>
      </c>
      <c r="K55" s="244">
        <f t="shared" si="23"/>
        <v>182.98127971698108</v>
      </c>
      <c r="L55" s="244">
        <f t="shared" si="23"/>
        <v>181.38877971698111</v>
      </c>
      <c r="M55" s="244">
        <f t="shared" si="23"/>
        <v>179.79627971698108</v>
      </c>
      <c r="N55" s="244">
        <f t="shared" si="23"/>
        <v>178.20377971698107</v>
      </c>
      <c r="O55" s="244">
        <f t="shared" si="23"/>
        <v>176.61127971698107</v>
      </c>
      <c r="P55" s="85"/>
      <c r="Q55" s="85"/>
      <c r="R55" s="85"/>
      <c r="S55" s="85"/>
      <c r="T55" s="85"/>
    </row>
    <row r="56" spans="1:20" ht="12.75" x14ac:dyDescent="0.2">
      <c r="A56" s="80"/>
      <c r="B56" s="244"/>
      <c r="C56" s="244"/>
      <c r="D56" s="244"/>
      <c r="E56" s="244"/>
      <c r="F56" s="244"/>
      <c r="G56" s="244"/>
      <c r="H56" s="244"/>
      <c r="I56" s="244"/>
      <c r="J56" s="244"/>
      <c r="K56" s="244"/>
      <c r="L56" s="244"/>
      <c r="M56" s="244"/>
      <c r="N56" s="244"/>
      <c r="O56" s="244"/>
      <c r="P56" s="85"/>
      <c r="Q56" s="85"/>
      <c r="R56" s="85"/>
      <c r="S56" s="85"/>
      <c r="T56" s="85"/>
    </row>
    <row r="57" spans="1:20" ht="15.75" x14ac:dyDescent="0.25">
      <c r="A57" s="243" t="s">
        <v>110</v>
      </c>
      <c r="B57" s="244"/>
      <c r="C57" s="244"/>
      <c r="D57" s="244"/>
      <c r="E57" s="244"/>
      <c r="F57" s="244"/>
      <c r="G57" s="244"/>
      <c r="H57" s="244"/>
      <c r="I57" s="244"/>
      <c r="J57" s="244"/>
      <c r="K57" s="244"/>
      <c r="L57" s="244"/>
      <c r="M57" s="244"/>
      <c r="N57" s="244"/>
      <c r="O57" s="244"/>
      <c r="P57" s="85"/>
      <c r="Q57" s="85"/>
      <c r="R57" s="85"/>
      <c r="S57" s="85"/>
      <c r="T57" s="85"/>
    </row>
    <row r="58" spans="1:20" ht="12.75" x14ac:dyDescent="0.2">
      <c r="A58" s="310" t="s">
        <v>261</v>
      </c>
      <c r="B58" s="345">
        <v>0</v>
      </c>
      <c r="C58" s="345">
        <v>0</v>
      </c>
      <c r="D58" s="345">
        <v>0</v>
      </c>
      <c r="E58" s="345">
        <v>0</v>
      </c>
      <c r="F58" s="345">
        <v>0</v>
      </c>
      <c r="G58" s="345">
        <v>0</v>
      </c>
      <c r="H58" s="345">
        <v>0</v>
      </c>
      <c r="I58" s="345">
        <v>0</v>
      </c>
      <c r="J58" s="345">
        <v>0</v>
      </c>
      <c r="K58" s="345">
        <v>0</v>
      </c>
      <c r="L58" s="345">
        <v>0</v>
      </c>
      <c r="M58" s="345">
        <v>0</v>
      </c>
      <c r="N58" s="345">
        <v>0</v>
      </c>
      <c r="O58" s="345">
        <v>0</v>
      </c>
      <c r="P58" s="85"/>
      <c r="Q58" s="85"/>
      <c r="R58" s="85"/>
      <c r="S58" s="85"/>
      <c r="T58" s="85"/>
    </row>
    <row r="59" spans="1:20" ht="12.75" x14ac:dyDescent="0.2">
      <c r="A59" s="80" t="s">
        <v>304</v>
      </c>
      <c r="B59" s="244">
        <f t="shared" ref="B59:O59" si="24">(B58*B26)/1000000</f>
        <v>0</v>
      </c>
      <c r="C59" s="244">
        <f t="shared" si="24"/>
        <v>0</v>
      </c>
      <c r="D59" s="244">
        <f t="shared" si="24"/>
        <v>0</v>
      </c>
      <c r="E59" s="244">
        <f t="shared" si="24"/>
        <v>0</v>
      </c>
      <c r="F59" s="244">
        <f t="shared" si="24"/>
        <v>0</v>
      </c>
      <c r="G59" s="244">
        <f t="shared" si="24"/>
        <v>0</v>
      </c>
      <c r="H59" s="244">
        <f t="shared" si="24"/>
        <v>0</v>
      </c>
      <c r="I59" s="244">
        <f t="shared" si="24"/>
        <v>0</v>
      </c>
      <c r="J59" s="244">
        <f t="shared" si="24"/>
        <v>0</v>
      </c>
      <c r="K59" s="244">
        <f t="shared" si="24"/>
        <v>0</v>
      </c>
      <c r="L59" s="244">
        <f t="shared" si="24"/>
        <v>0</v>
      </c>
      <c r="M59" s="244">
        <f t="shared" si="24"/>
        <v>0</v>
      </c>
      <c r="N59" s="244">
        <f t="shared" si="24"/>
        <v>0</v>
      </c>
      <c r="O59" s="244">
        <f t="shared" si="24"/>
        <v>0</v>
      </c>
      <c r="P59" s="85"/>
      <c r="Q59" s="85"/>
      <c r="R59" s="85"/>
      <c r="S59" s="85"/>
      <c r="T59" s="85"/>
    </row>
    <row r="60" spans="1:20" ht="12.75" x14ac:dyDescent="0.2">
      <c r="A60" s="307"/>
      <c r="B60" s="293"/>
      <c r="C60" s="293"/>
      <c r="D60" s="293"/>
      <c r="E60" s="293"/>
      <c r="F60" s="293"/>
      <c r="G60" s="293"/>
      <c r="H60" s="293"/>
      <c r="I60" s="293"/>
      <c r="J60" s="293"/>
      <c r="K60" s="293"/>
      <c r="L60" s="293"/>
      <c r="M60" s="293"/>
      <c r="N60" s="293"/>
      <c r="O60" s="293"/>
      <c r="P60" s="85"/>
      <c r="Q60" s="85"/>
      <c r="R60" s="85"/>
      <c r="S60" s="85"/>
      <c r="T60" s="85"/>
    </row>
    <row r="61" spans="1:20" ht="12.75" x14ac:dyDescent="0.2">
      <c r="A61" s="307"/>
      <c r="B61" s="293"/>
      <c r="C61" s="293"/>
      <c r="D61" s="293"/>
      <c r="E61" s="293"/>
      <c r="F61" s="293"/>
      <c r="G61" s="293"/>
      <c r="H61" s="293"/>
      <c r="I61" s="293"/>
      <c r="J61" s="293"/>
      <c r="K61" s="293"/>
      <c r="L61" s="293"/>
      <c r="M61" s="293"/>
      <c r="N61" s="293"/>
      <c r="O61" s="293"/>
      <c r="P61" s="85"/>
      <c r="Q61" s="85"/>
      <c r="R61" s="85"/>
      <c r="S61" s="85"/>
      <c r="T61" s="85"/>
    </row>
    <row r="62" spans="1:20" ht="12.75" x14ac:dyDescent="0.2">
      <c r="A62" s="307"/>
      <c r="B62" s="293"/>
      <c r="C62" s="293"/>
      <c r="D62" s="293"/>
      <c r="E62" s="293"/>
      <c r="F62" s="293"/>
      <c r="G62" s="293"/>
      <c r="H62" s="293"/>
      <c r="I62" s="293"/>
      <c r="J62" s="293"/>
      <c r="K62" s="293"/>
      <c r="L62" s="293"/>
      <c r="M62" s="293"/>
      <c r="N62" s="293"/>
      <c r="O62" s="293"/>
      <c r="P62" s="85"/>
      <c r="Q62" s="85"/>
      <c r="R62" s="85"/>
      <c r="S62" s="85"/>
      <c r="T62" s="85"/>
    </row>
    <row r="63" spans="1:20" ht="12.75" x14ac:dyDescent="0.2">
      <c r="A63" s="307"/>
      <c r="B63" s="293"/>
      <c r="C63" s="293"/>
      <c r="D63" s="293"/>
      <c r="E63" s="293"/>
      <c r="F63" s="293"/>
      <c r="G63" s="293"/>
      <c r="H63" s="293"/>
      <c r="I63" s="293"/>
      <c r="J63" s="293"/>
      <c r="K63" s="293"/>
      <c r="L63" s="293"/>
      <c r="M63" s="293"/>
      <c r="N63" s="293"/>
      <c r="O63" s="293"/>
      <c r="P63" s="85"/>
      <c r="Q63" s="85"/>
      <c r="R63" s="85"/>
      <c r="S63" s="85"/>
      <c r="T63" s="85"/>
    </row>
    <row r="64" spans="1:20" ht="12.75" x14ac:dyDescent="0.2">
      <c r="A64" s="307"/>
      <c r="B64" s="293"/>
      <c r="C64" s="293"/>
      <c r="D64" s="293"/>
      <c r="E64" s="293"/>
      <c r="F64" s="293"/>
      <c r="G64" s="293"/>
      <c r="H64" s="293"/>
      <c r="I64" s="293"/>
      <c r="J64" s="293"/>
      <c r="K64" s="293"/>
      <c r="L64" s="293"/>
      <c r="M64" s="293"/>
      <c r="N64" s="293"/>
      <c r="O64" s="293"/>
      <c r="P64" s="85"/>
      <c r="Q64" s="85"/>
      <c r="R64" s="85"/>
      <c r="S64" s="85"/>
      <c r="T64" s="85"/>
    </row>
    <row r="65" spans="1:20" ht="12.75" x14ac:dyDescent="0.2">
      <c r="A65" s="307"/>
      <c r="B65" s="293"/>
      <c r="C65" s="293"/>
      <c r="D65" s="293"/>
      <c r="E65" s="293"/>
      <c r="F65" s="293"/>
      <c r="G65" s="293"/>
      <c r="H65" s="293"/>
      <c r="I65" s="293"/>
      <c r="J65" s="293"/>
      <c r="K65" s="293"/>
      <c r="L65" s="293"/>
      <c r="M65" s="293"/>
      <c r="N65" s="293"/>
      <c r="O65" s="293"/>
      <c r="P65" s="85"/>
      <c r="Q65" s="85"/>
      <c r="R65" s="85"/>
      <c r="S65" s="85"/>
      <c r="T65" s="85"/>
    </row>
    <row r="66" spans="1:20" ht="12.75" x14ac:dyDescent="0.2">
      <c r="A66" s="307"/>
      <c r="B66" s="293"/>
      <c r="C66" s="293"/>
      <c r="D66" s="293"/>
      <c r="E66" s="293"/>
      <c r="F66" s="293"/>
      <c r="G66" s="293"/>
      <c r="H66" s="293"/>
      <c r="I66" s="293"/>
      <c r="J66" s="293"/>
      <c r="K66" s="293"/>
      <c r="L66" s="293"/>
      <c r="M66" s="293"/>
      <c r="N66" s="293"/>
      <c r="O66" s="293"/>
      <c r="P66" s="85"/>
      <c r="Q66" s="85"/>
      <c r="R66" s="85"/>
      <c r="S66" s="85"/>
      <c r="T66" s="85"/>
    </row>
    <row r="67" spans="1:20" ht="12.75" x14ac:dyDescent="0.2">
      <c r="A67" s="307"/>
      <c r="B67" s="293"/>
      <c r="C67" s="293"/>
      <c r="D67" s="293"/>
      <c r="E67" s="293"/>
      <c r="F67" s="293"/>
      <c r="G67" s="293"/>
      <c r="H67" s="293"/>
      <c r="I67" s="293"/>
      <c r="J67" s="293"/>
      <c r="K67" s="293"/>
      <c r="L67" s="293"/>
      <c r="M67" s="293"/>
      <c r="N67" s="293"/>
      <c r="O67" s="293"/>
      <c r="P67" s="85"/>
      <c r="Q67" s="85"/>
      <c r="R67" s="85"/>
      <c r="S67" s="85"/>
      <c r="T67" s="85"/>
    </row>
    <row r="68" spans="1:20" ht="12.75" x14ac:dyDescent="0.2">
      <c r="A68" s="307"/>
      <c r="B68" s="293"/>
      <c r="C68" s="293"/>
      <c r="D68" s="293"/>
      <c r="E68" s="293"/>
      <c r="F68" s="293"/>
      <c r="G68" s="293"/>
      <c r="H68" s="293"/>
      <c r="I68" s="293"/>
      <c r="J68" s="293"/>
      <c r="K68" s="293"/>
      <c r="L68" s="293"/>
      <c r="M68" s="293"/>
      <c r="N68" s="293"/>
      <c r="O68" s="293"/>
      <c r="P68" s="85"/>
      <c r="Q68" s="85"/>
      <c r="R68" s="85"/>
      <c r="S68" s="85"/>
      <c r="T68" s="85"/>
    </row>
    <row r="69" spans="1:20" x14ac:dyDescent="0.15">
      <c r="A69" s="85"/>
      <c r="B69" s="372"/>
      <c r="C69" s="372"/>
      <c r="D69" s="372"/>
      <c r="E69" s="372"/>
      <c r="F69" s="372"/>
      <c r="G69" s="372"/>
      <c r="H69" s="372"/>
      <c r="I69" s="372"/>
      <c r="J69" s="372"/>
      <c r="K69" s="372"/>
      <c r="L69" s="372"/>
      <c r="M69" s="372"/>
      <c r="N69" s="372"/>
      <c r="O69" s="372"/>
      <c r="P69" s="85"/>
      <c r="Q69" s="85"/>
      <c r="R69" s="85"/>
      <c r="S69" s="85"/>
      <c r="T69" s="85"/>
    </row>
    <row r="70" spans="1:20" x14ac:dyDescent="0.15">
      <c r="A70" s="85"/>
      <c r="B70" s="372"/>
      <c r="C70" s="372"/>
      <c r="D70" s="372"/>
      <c r="E70" s="372"/>
      <c r="F70" s="372"/>
      <c r="G70" s="372"/>
      <c r="H70" s="372"/>
      <c r="I70" s="372"/>
      <c r="J70" s="372"/>
      <c r="K70" s="372"/>
      <c r="L70" s="372"/>
      <c r="M70" s="372"/>
      <c r="N70" s="372"/>
      <c r="O70" s="372"/>
      <c r="P70" s="85"/>
      <c r="Q70" s="85"/>
      <c r="R70" s="85"/>
      <c r="S70" s="85"/>
      <c r="T70" s="85"/>
    </row>
    <row r="71" spans="1:20" x14ac:dyDescent="0.15">
      <c r="A71" s="85"/>
      <c r="B71" s="372"/>
      <c r="C71" s="372"/>
      <c r="D71" s="372"/>
      <c r="E71" s="372"/>
      <c r="F71" s="372"/>
      <c r="G71" s="372"/>
      <c r="H71" s="372"/>
      <c r="I71" s="372"/>
      <c r="J71" s="372"/>
      <c r="K71" s="372"/>
      <c r="L71" s="372"/>
      <c r="M71" s="372"/>
      <c r="N71" s="372"/>
      <c r="O71" s="372"/>
      <c r="P71" s="85"/>
      <c r="Q71" s="85"/>
      <c r="R71" s="85"/>
      <c r="S71" s="85"/>
      <c r="T71" s="85"/>
    </row>
    <row r="72" spans="1:20" x14ac:dyDescent="0.15">
      <c r="A72" s="85"/>
      <c r="B72" s="372"/>
      <c r="C72" s="372"/>
      <c r="D72" s="372"/>
      <c r="E72" s="372"/>
      <c r="F72" s="372"/>
      <c r="G72" s="372"/>
      <c r="H72" s="372"/>
      <c r="I72" s="372"/>
      <c r="J72" s="372"/>
      <c r="K72" s="372"/>
      <c r="L72" s="372"/>
      <c r="M72" s="372"/>
      <c r="N72" s="372"/>
      <c r="O72" s="372"/>
      <c r="P72" s="85"/>
      <c r="Q72" s="85"/>
      <c r="R72" s="85"/>
      <c r="S72" s="85"/>
      <c r="T72" s="85"/>
    </row>
    <row r="73" spans="1:20" x14ac:dyDescent="0.15">
      <c r="A73" s="85"/>
      <c r="B73" s="372"/>
      <c r="C73" s="372"/>
      <c r="D73" s="372"/>
      <c r="E73" s="372"/>
      <c r="F73" s="372"/>
      <c r="G73" s="372"/>
      <c r="H73" s="372"/>
      <c r="I73" s="372"/>
      <c r="J73" s="372"/>
      <c r="K73" s="372"/>
      <c r="L73" s="372"/>
      <c r="M73" s="372"/>
      <c r="N73" s="372"/>
      <c r="O73" s="372"/>
      <c r="P73" s="85"/>
      <c r="Q73" s="85"/>
      <c r="R73" s="85"/>
      <c r="S73" s="85"/>
      <c r="T73" s="85"/>
    </row>
    <row r="74" spans="1:20" x14ac:dyDescent="0.15">
      <c r="A74" s="85"/>
      <c r="B74" s="372"/>
      <c r="C74" s="372"/>
      <c r="D74" s="372"/>
      <c r="E74" s="372"/>
      <c r="F74" s="372"/>
      <c r="G74" s="372"/>
      <c r="H74" s="372"/>
      <c r="I74" s="372"/>
      <c r="J74" s="372"/>
      <c r="K74" s="372"/>
      <c r="L74" s="372"/>
      <c r="M74" s="372"/>
      <c r="N74" s="372"/>
      <c r="O74" s="372"/>
      <c r="P74" s="85"/>
      <c r="Q74" s="85"/>
      <c r="R74" s="85"/>
      <c r="S74" s="85"/>
      <c r="T74" s="85"/>
    </row>
    <row r="75" spans="1:20" x14ac:dyDescent="0.15">
      <c r="A75" s="85"/>
      <c r="B75" s="372"/>
      <c r="C75" s="372"/>
      <c r="D75" s="372"/>
      <c r="E75" s="372"/>
      <c r="F75" s="372"/>
      <c r="G75" s="372"/>
      <c r="H75" s="372"/>
      <c r="I75" s="372"/>
      <c r="J75" s="372"/>
      <c r="K75" s="372"/>
      <c r="L75" s="372"/>
      <c r="M75" s="372"/>
      <c r="N75" s="372"/>
      <c r="O75" s="372"/>
      <c r="P75" s="85"/>
      <c r="Q75" s="85"/>
      <c r="R75" s="85"/>
      <c r="S75" s="85"/>
      <c r="T75" s="85"/>
    </row>
    <row r="76" spans="1:20" x14ac:dyDescent="0.15">
      <c r="A76" s="85"/>
      <c r="B76" s="372"/>
      <c r="C76" s="372"/>
      <c r="D76" s="372"/>
      <c r="E76" s="372"/>
      <c r="F76" s="372"/>
      <c r="G76" s="372"/>
      <c r="H76" s="372"/>
      <c r="I76" s="372"/>
      <c r="J76" s="372"/>
      <c r="K76" s="372"/>
      <c r="L76" s="372"/>
      <c r="M76" s="372"/>
      <c r="N76" s="372"/>
      <c r="O76" s="372"/>
      <c r="P76" s="85"/>
      <c r="Q76" s="85"/>
      <c r="R76" s="85"/>
      <c r="S76" s="85"/>
      <c r="T76" s="85"/>
    </row>
    <row r="77" spans="1:20" x14ac:dyDescent="0.15">
      <c r="A77" s="85"/>
      <c r="B77" s="372"/>
      <c r="C77" s="372"/>
      <c r="D77" s="372"/>
      <c r="E77" s="372"/>
      <c r="F77" s="372"/>
      <c r="G77" s="372"/>
      <c r="H77" s="372"/>
      <c r="I77" s="372"/>
      <c r="J77" s="372"/>
      <c r="K77" s="372"/>
      <c r="L77" s="372"/>
      <c r="M77" s="372"/>
      <c r="N77" s="372"/>
      <c r="O77" s="372"/>
      <c r="P77" s="85"/>
      <c r="Q77" s="85"/>
      <c r="R77" s="85"/>
      <c r="S77" s="85"/>
      <c r="T77" s="85"/>
    </row>
    <row r="78" spans="1:20" x14ac:dyDescent="0.15">
      <c r="A78" s="85"/>
      <c r="B78" s="372"/>
      <c r="C78" s="372"/>
      <c r="D78" s="372"/>
      <c r="E78" s="372"/>
      <c r="F78" s="372"/>
      <c r="G78" s="372"/>
      <c r="H78" s="372"/>
      <c r="I78" s="372"/>
      <c r="J78" s="372"/>
      <c r="K78" s="372"/>
      <c r="L78" s="372"/>
      <c r="M78" s="372"/>
      <c r="N78" s="372"/>
      <c r="O78" s="372"/>
      <c r="P78" s="85"/>
      <c r="Q78" s="85"/>
      <c r="R78" s="85"/>
      <c r="S78" s="85"/>
      <c r="T78" s="85"/>
    </row>
    <row r="79" spans="1:20" x14ac:dyDescent="0.15">
      <c r="A79" s="85"/>
      <c r="B79" s="372"/>
      <c r="C79" s="372"/>
      <c r="D79" s="372"/>
      <c r="E79" s="372"/>
      <c r="F79" s="372"/>
      <c r="G79" s="372"/>
      <c r="H79" s="372"/>
      <c r="I79" s="372"/>
      <c r="J79" s="372"/>
      <c r="K79" s="372"/>
      <c r="L79" s="372"/>
      <c r="M79" s="372"/>
      <c r="N79" s="372"/>
      <c r="O79" s="372"/>
      <c r="P79" s="85"/>
      <c r="Q79" s="85"/>
      <c r="R79" s="85"/>
      <c r="S79" s="85"/>
      <c r="T79" s="85"/>
    </row>
    <row r="80" spans="1:20" x14ac:dyDescent="0.15">
      <c r="A80" s="85"/>
      <c r="B80" s="372"/>
      <c r="C80" s="372"/>
      <c r="D80" s="372"/>
      <c r="E80" s="372"/>
      <c r="F80" s="372"/>
      <c r="G80" s="372"/>
      <c r="H80" s="372"/>
      <c r="I80" s="372"/>
      <c r="J80" s="372"/>
      <c r="K80" s="372"/>
      <c r="L80" s="372"/>
      <c r="M80" s="372"/>
      <c r="N80" s="372"/>
      <c r="O80" s="372"/>
      <c r="P80" s="85"/>
      <c r="Q80" s="85"/>
      <c r="R80" s="85"/>
      <c r="S80" s="85"/>
      <c r="T80" s="85"/>
    </row>
    <row r="81" spans="1:20" x14ac:dyDescent="0.15">
      <c r="A81" s="85"/>
      <c r="B81" s="372"/>
      <c r="C81" s="372"/>
      <c r="D81" s="372"/>
      <c r="E81" s="372"/>
      <c r="F81" s="372"/>
      <c r="G81" s="372"/>
      <c r="H81" s="372"/>
      <c r="I81" s="372"/>
      <c r="J81" s="372"/>
      <c r="K81" s="372"/>
      <c r="L81" s="372"/>
      <c r="M81" s="372"/>
      <c r="N81" s="372"/>
      <c r="O81" s="372"/>
      <c r="P81" s="85"/>
      <c r="Q81" s="85"/>
      <c r="R81" s="85"/>
      <c r="S81" s="85"/>
      <c r="T81" s="85"/>
    </row>
    <row r="82" spans="1:20" x14ac:dyDescent="0.15">
      <c r="A82" s="85"/>
      <c r="B82" s="372"/>
      <c r="C82" s="372"/>
      <c r="D82" s="372"/>
      <c r="E82" s="372"/>
      <c r="F82" s="372"/>
      <c r="G82" s="372"/>
      <c r="H82" s="372"/>
      <c r="I82" s="372"/>
      <c r="J82" s="372"/>
      <c r="K82" s="372"/>
      <c r="L82" s="372"/>
      <c r="M82" s="372"/>
      <c r="N82" s="372"/>
      <c r="O82" s="372"/>
      <c r="P82" s="85"/>
      <c r="Q82" s="85"/>
      <c r="R82" s="85"/>
      <c r="S82" s="85"/>
      <c r="T82" s="85"/>
    </row>
    <row r="83" spans="1:20" x14ac:dyDescent="0.15">
      <c r="A83" s="85"/>
      <c r="B83" s="372"/>
      <c r="C83" s="372"/>
      <c r="D83" s="372"/>
      <c r="E83" s="372"/>
      <c r="F83" s="372"/>
      <c r="G83" s="372"/>
      <c r="H83" s="372"/>
      <c r="I83" s="372"/>
      <c r="J83" s="372"/>
      <c r="K83" s="372"/>
      <c r="L83" s="372"/>
      <c r="M83" s="372"/>
      <c r="N83" s="372"/>
      <c r="O83" s="372"/>
      <c r="P83" s="85"/>
      <c r="Q83" s="85"/>
      <c r="R83" s="85"/>
      <c r="S83" s="85"/>
      <c r="T83" s="85"/>
    </row>
    <row r="84" spans="1:20" x14ac:dyDescent="0.15">
      <c r="A84" s="85"/>
      <c r="B84" s="372"/>
      <c r="C84" s="372"/>
      <c r="D84" s="372"/>
      <c r="E84" s="372"/>
      <c r="F84" s="372"/>
      <c r="G84" s="372"/>
      <c r="H84" s="372"/>
      <c r="I84" s="372"/>
      <c r="J84" s="372"/>
      <c r="K84" s="372"/>
      <c r="L84" s="372"/>
      <c r="M84" s="372"/>
      <c r="N84" s="372"/>
      <c r="O84" s="372"/>
      <c r="P84" s="85"/>
      <c r="Q84" s="85"/>
      <c r="R84" s="85"/>
      <c r="S84" s="85"/>
      <c r="T84" s="85"/>
    </row>
    <row r="85" spans="1:20" x14ac:dyDescent="0.15">
      <c r="A85" s="85"/>
      <c r="B85" s="372"/>
      <c r="C85" s="372"/>
      <c r="D85" s="372"/>
      <c r="E85" s="372"/>
      <c r="F85" s="372"/>
      <c r="G85" s="372"/>
      <c r="H85" s="372"/>
      <c r="I85" s="372"/>
      <c r="J85" s="372"/>
      <c r="K85" s="372"/>
      <c r="L85" s="372"/>
      <c r="M85" s="372"/>
      <c r="N85" s="372"/>
      <c r="O85" s="372"/>
      <c r="P85" s="85"/>
      <c r="Q85" s="85"/>
      <c r="R85" s="85"/>
      <c r="S85" s="85"/>
      <c r="T85" s="85"/>
    </row>
    <row r="86" spans="1:20" x14ac:dyDescent="0.15">
      <c r="A86" s="85"/>
      <c r="B86" s="372"/>
      <c r="C86" s="372"/>
      <c r="D86" s="372"/>
      <c r="E86" s="372"/>
      <c r="F86" s="372"/>
      <c r="G86" s="372"/>
      <c r="H86" s="372"/>
      <c r="I86" s="372"/>
      <c r="J86" s="372"/>
      <c r="K86" s="372"/>
      <c r="L86" s="372"/>
      <c r="M86" s="372"/>
      <c r="N86" s="372"/>
      <c r="O86" s="372"/>
      <c r="P86" s="85"/>
      <c r="Q86" s="85"/>
      <c r="R86" s="85"/>
      <c r="S86" s="85"/>
      <c r="T86" s="85"/>
    </row>
  </sheetData>
  <mergeCells count="1">
    <mergeCell ref="A2:O2"/>
  </mergeCells>
  <phoneticPr fontId="0" type="noConversion"/>
  <pageMargins left="0.75" right="0.75" top="1" bottom="1" header="0.5" footer="0.5"/>
  <pageSetup orientation="portrait" r:id="rId1"/>
  <headerFooter alignWithMargins="0"/>
  <ignoredErrors>
    <ignoredError sqref="G17:O17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P59"/>
  <sheetViews>
    <sheetView windowProtection="1" showRowColHeaders="0" topLeftCell="A28" workbookViewId="0">
      <selection activeCell="C46" sqref="C46"/>
    </sheetView>
  </sheetViews>
  <sheetFormatPr defaultRowHeight="12" x14ac:dyDescent="0.15"/>
  <cols>
    <col min="1" max="1" width="20.375" customWidth="1"/>
    <col min="2" max="14" width="10.25" customWidth="1"/>
  </cols>
  <sheetData>
    <row r="1" spans="1:16" ht="23.25" x14ac:dyDescent="0.35">
      <c r="A1" s="126" t="str">
        <f>Assumptions!B3</f>
        <v>simulation water company</v>
      </c>
      <c r="B1" s="102"/>
      <c r="C1" s="102"/>
      <c r="D1" s="102"/>
      <c r="E1" s="102"/>
      <c r="F1" s="102"/>
      <c r="G1" s="102"/>
      <c r="H1" s="102"/>
      <c r="I1" s="102"/>
      <c r="J1" s="85"/>
      <c r="K1" s="85"/>
      <c r="L1" s="85"/>
      <c r="M1" s="85"/>
      <c r="N1" s="85"/>
      <c r="O1" s="85"/>
      <c r="P1" s="85"/>
    </row>
    <row r="2" spans="1:16" x14ac:dyDescent="0.15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</row>
    <row r="3" spans="1:16" ht="13.5" thickBot="1" x14ac:dyDescent="0.25">
      <c r="A3" s="296" t="str">
        <f>Assumptions!B8</f>
        <v>Million FMs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</row>
    <row r="4" spans="1:16" ht="24" thickBot="1" x14ac:dyDescent="0.4">
      <c r="A4" s="378" t="s">
        <v>211</v>
      </c>
      <c r="B4" s="21"/>
      <c r="C4" s="21"/>
      <c r="D4" s="21"/>
      <c r="E4" s="21"/>
      <c r="F4" s="21"/>
      <c r="G4" s="21"/>
      <c r="H4" s="21"/>
      <c r="I4" s="22"/>
      <c r="J4" s="85"/>
      <c r="K4" s="85"/>
      <c r="L4" s="85"/>
      <c r="M4" s="85"/>
      <c r="N4" s="85"/>
      <c r="O4" s="85"/>
      <c r="P4" s="85"/>
    </row>
    <row r="5" spans="1:16" ht="12.75" x14ac:dyDescent="0.2">
      <c r="A5" s="140"/>
      <c r="B5" s="289">
        <f>'Output Statements'!B55</f>
        <v>2018</v>
      </c>
      <c r="C5" s="289">
        <f>'Output Statements'!C55</f>
        <v>2019</v>
      </c>
      <c r="D5" s="289">
        <f>'Output Statements'!D55</f>
        <v>2020</v>
      </c>
      <c r="E5" s="289">
        <f>'Output Statements'!E55</f>
        <v>2021</v>
      </c>
      <c r="F5" s="289">
        <f>'Output Statements'!F55</f>
        <v>2022</v>
      </c>
      <c r="G5" s="289">
        <f>'Output Statements'!G55</f>
        <v>2023</v>
      </c>
      <c r="H5" s="289">
        <f>'Output Statements'!H55</f>
        <v>2024</v>
      </c>
      <c r="I5" s="289">
        <f>'Output Statements'!I55</f>
        <v>2025</v>
      </c>
      <c r="J5" s="85"/>
      <c r="K5" s="85"/>
      <c r="L5" s="85"/>
      <c r="M5" s="85"/>
      <c r="N5" s="85"/>
      <c r="O5" s="85"/>
      <c r="P5" s="85"/>
    </row>
    <row r="6" spans="1:16" ht="12.75" x14ac:dyDescent="0.2">
      <c r="A6" s="413" t="str">
        <f>Dashboard!A6</f>
        <v>Leakage Reduction Program</v>
      </c>
      <c r="B6" s="444">
        <f>Dashboard!F18</f>
        <v>0</v>
      </c>
      <c r="C6" s="444">
        <f>Dashboard!G18</f>
        <v>0</v>
      </c>
      <c r="D6" s="444">
        <f>Dashboard!H18</f>
        <v>0</v>
      </c>
      <c r="E6" s="444">
        <f>Dashboard!I18</f>
        <v>0</v>
      </c>
      <c r="F6" s="444">
        <f>Dashboard!J18</f>
        <v>0</v>
      </c>
      <c r="G6" s="448"/>
      <c r="H6" s="448"/>
      <c r="I6" s="448"/>
      <c r="J6" s="85"/>
      <c r="K6" s="85"/>
      <c r="L6" s="85"/>
      <c r="M6" s="85"/>
      <c r="N6" s="85"/>
      <c r="O6" s="85"/>
      <c r="P6" s="85"/>
    </row>
    <row r="7" spans="1:16" ht="12.75" x14ac:dyDescent="0.2">
      <c r="A7" s="413" t="str">
        <f>Dashboard!A7</f>
        <v>Customer Connection Program</v>
      </c>
      <c r="B7" s="444">
        <f>Dashboard!F19</f>
        <v>0</v>
      </c>
      <c r="C7" s="444">
        <f>Dashboard!G19</f>
        <v>0</v>
      </c>
      <c r="D7" s="444">
        <f>Dashboard!H19</f>
        <v>0</v>
      </c>
      <c r="E7" s="444">
        <f>Dashboard!I19</f>
        <v>0</v>
      </c>
      <c r="F7" s="444">
        <f>Dashboard!J19</f>
        <v>0</v>
      </c>
      <c r="G7" s="448"/>
      <c r="H7" s="448"/>
      <c r="I7" s="448"/>
      <c r="J7" s="85"/>
      <c r="K7" s="85"/>
      <c r="L7" s="85"/>
      <c r="M7" s="85"/>
      <c r="N7" s="85"/>
      <c r="O7" s="85"/>
      <c r="P7" s="85"/>
    </row>
    <row r="8" spans="1:16" ht="12.75" x14ac:dyDescent="0.2">
      <c r="A8" s="413" t="str">
        <f>Dashboard!A8</f>
        <v>Increase Treatment Capacity</v>
      </c>
      <c r="B8" s="449">
        <f>Dashboard!F20</f>
        <v>0</v>
      </c>
      <c r="C8" s="449">
        <f>Dashboard!G20</f>
        <v>0</v>
      </c>
      <c r="D8" s="449">
        <f>Dashboard!H20</f>
        <v>0</v>
      </c>
      <c r="E8" s="449">
        <f>Dashboard!I20</f>
        <v>0</v>
      </c>
      <c r="F8" s="449">
        <f>Dashboard!J20</f>
        <v>0</v>
      </c>
      <c r="G8" s="448"/>
      <c r="H8" s="448"/>
      <c r="I8" s="448"/>
      <c r="J8" s="85"/>
      <c r="K8" s="85"/>
      <c r="L8" s="85"/>
      <c r="M8" s="85"/>
      <c r="N8" s="85"/>
      <c r="O8" s="85"/>
      <c r="P8" s="85"/>
    </row>
    <row r="9" spans="1:16" ht="12.75" x14ac:dyDescent="0.2">
      <c r="A9" s="413" t="str">
        <f>Dashboard!A9</f>
        <v>Collection Program</v>
      </c>
      <c r="B9" s="444">
        <f>Dashboard!F21</f>
        <v>0</v>
      </c>
      <c r="C9" s="444">
        <f>Dashboard!G21</f>
        <v>0</v>
      </c>
      <c r="D9" s="444">
        <f>Dashboard!H21</f>
        <v>0</v>
      </c>
      <c r="E9" s="444">
        <f>Dashboard!I21</f>
        <v>0</v>
      </c>
      <c r="F9" s="444">
        <f>Dashboard!J21</f>
        <v>0</v>
      </c>
      <c r="G9" s="448"/>
      <c r="H9" s="448"/>
      <c r="I9" s="448"/>
      <c r="J9" s="85"/>
      <c r="K9" s="85"/>
      <c r="L9" s="85"/>
      <c r="M9" s="85"/>
      <c r="N9" s="85"/>
      <c r="O9" s="85"/>
      <c r="P9" s="85"/>
    </row>
    <row r="10" spans="1:16" ht="12.75" x14ac:dyDescent="0.2">
      <c r="A10" s="413" t="str">
        <f>Dashboard!A10</f>
        <v>Tariff Increase</v>
      </c>
      <c r="B10" s="444">
        <f>Dashboard!F22</f>
        <v>0</v>
      </c>
      <c r="C10" s="444">
        <f>Dashboard!G22</f>
        <v>0</v>
      </c>
      <c r="D10" s="444">
        <f>Dashboard!H22</f>
        <v>0</v>
      </c>
      <c r="E10" s="444">
        <f>Dashboard!I22</f>
        <v>0</v>
      </c>
      <c r="F10" s="444">
        <f>Dashboard!J22</f>
        <v>0</v>
      </c>
      <c r="G10" s="444">
        <f>Dashboard!Q10</f>
        <v>0</v>
      </c>
      <c r="H10" s="444">
        <f>Dashboard!R10</f>
        <v>0</v>
      </c>
      <c r="I10" s="444">
        <f>Dashboard!S10</f>
        <v>0</v>
      </c>
      <c r="J10" s="85"/>
      <c r="K10" s="85"/>
      <c r="L10" s="85"/>
      <c r="M10" s="85"/>
      <c r="N10" s="85"/>
      <c r="O10" s="85"/>
      <c r="P10" s="85"/>
    </row>
    <row r="11" spans="1:16" ht="12.75" x14ac:dyDescent="0.2">
      <c r="A11" s="413" t="str">
        <f>Dashboard!A11</f>
        <v>Inventory Management</v>
      </c>
      <c r="B11" s="444">
        <f>Dashboard!F23</f>
        <v>0</v>
      </c>
      <c r="C11" s="444">
        <f>Dashboard!G23</f>
        <v>0</v>
      </c>
      <c r="D11" s="444">
        <f>Dashboard!H23</f>
        <v>0</v>
      </c>
      <c r="E11" s="444">
        <f>Dashboard!I23</f>
        <v>0</v>
      </c>
      <c r="F11" s="444">
        <f>Dashboard!J23</f>
        <v>0</v>
      </c>
      <c r="G11" s="444">
        <f>Dashboard!Q11</f>
        <v>0</v>
      </c>
      <c r="H11" s="444">
        <f>Dashboard!R11</f>
        <v>0</v>
      </c>
      <c r="I11" s="444">
        <f>Dashboard!S11</f>
        <v>0</v>
      </c>
      <c r="J11" s="85"/>
      <c r="K11" s="85"/>
      <c r="L11" s="85"/>
      <c r="M11" s="85"/>
      <c r="N11" s="85"/>
      <c r="O11" s="85"/>
      <c r="P11" s="85"/>
    </row>
    <row r="12" spans="1:16" ht="12.75" x14ac:dyDescent="0.2">
      <c r="A12" s="413" t="s">
        <v>341</v>
      </c>
      <c r="B12" s="500">
        <f>Dashboard!F5</f>
        <v>0</v>
      </c>
      <c r="C12" s="500">
        <f>Dashboard!G5</f>
        <v>0</v>
      </c>
      <c r="D12" s="500">
        <f>Dashboard!H5</f>
        <v>0</v>
      </c>
      <c r="E12" s="500">
        <f>Dashboard!I5</f>
        <v>0</v>
      </c>
      <c r="F12" s="500">
        <f>Dashboard!J5</f>
        <v>0</v>
      </c>
      <c r="G12" s="500">
        <f>Dashboard!K5</f>
        <v>0</v>
      </c>
      <c r="H12" s="500">
        <f>Dashboard!L5</f>
        <v>0</v>
      </c>
      <c r="I12" s="500">
        <f>Dashboard!M5</f>
        <v>0</v>
      </c>
      <c r="J12" s="85"/>
      <c r="K12" s="85"/>
      <c r="L12" s="85"/>
      <c r="M12" s="85"/>
      <c r="N12" s="85"/>
      <c r="O12" s="85"/>
      <c r="P12" s="85"/>
    </row>
    <row r="13" spans="1:16" ht="12.75" x14ac:dyDescent="0.2">
      <c r="A13" s="450" t="s">
        <v>246</v>
      </c>
      <c r="B13" s="257">
        <f t="shared" ref="B13:I13" si="0">SUM(B6:B12)</f>
        <v>0</v>
      </c>
      <c r="C13" s="257">
        <f t="shared" si="0"/>
        <v>0</v>
      </c>
      <c r="D13" s="257">
        <f t="shared" si="0"/>
        <v>0</v>
      </c>
      <c r="E13" s="257">
        <f t="shared" si="0"/>
        <v>0</v>
      </c>
      <c r="F13" s="257">
        <f t="shared" si="0"/>
        <v>0</v>
      </c>
      <c r="G13" s="257">
        <f t="shared" si="0"/>
        <v>0</v>
      </c>
      <c r="H13" s="257">
        <f t="shared" si="0"/>
        <v>0</v>
      </c>
      <c r="I13" s="257">
        <f t="shared" si="0"/>
        <v>0</v>
      </c>
      <c r="J13" s="85"/>
      <c r="K13" s="85"/>
      <c r="L13" s="85"/>
      <c r="M13" s="85"/>
      <c r="N13" s="85"/>
      <c r="O13" s="85"/>
      <c r="P13" s="85"/>
    </row>
    <row r="14" spans="1:16" ht="13.5" thickBot="1" x14ac:dyDescent="0.25">
      <c r="A14" s="139"/>
      <c r="B14" s="107"/>
      <c r="C14" s="107"/>
      <c r="D14" s="107"/>
      <c r="E14" s="107"/>
      <c r="F14" s="107"/>
      <c r="G14" s="107"/>
      <c r="H14" s="107"/>
      <c r="I14" s="107"/>
      <c r="J14" s="85"/>
      <c r="K14" s="85"/>
      <c r="L14" s="85"/>
      <c r="M14" s="85"/>
      <c r="N14" s="85"/>
      <c r="O14" s="85"/>
      <c r="P14" s="85"/>
    </row>
    <row r="15" spans="1:16" ht="15.75" x14ac:dyDescent="0.25">
      <c r="A15" s="348" t="s">
        <v>68</v>
      </c>
      <c r="B15" s="349"/>
      <c r="C15" s="350" t="s">
        <v>69</v>
      </c>
      <c r="D15" s="351"/>
      <c r="E15" s="352" t="str">
        <f>Assumptions!B8</f>
        <v>Million FMs</v>
      </c>
      <c r="F15" s="353"/>
      <c r="G15" s="353"/>
      <c r="H15" s="353"/>
      <c r="I15" s="353"/>
      <c r="J15" s="297"/>
      <c r="K15" s="85"/>
      <c r="L15" s="85"/>
      <c r="M15" s="85"/>
      <c r="N15" s="85"/>
      <c r="O15" s="85"/>
      <c r="P15" s="85"/>
    </row>
    <row r="16" spans="1:16" ht="12.75" x14ac:dyDescent="0.2">
      <c r="A16" s="354" t="s">
        <v>246</v>
      </c>
      <c r="B16" s="355">
        <f>'Output Statements'!B199</f>
        <v>0</v>
      </c>
      <c r="C16" s="355">
        <f>'Output Statements'!C199</f>
        <v>0</v>
      </c>
      <c r="D16" s="355">
        <f>'Output Statements'!D199</f>
        <v>0</v>
      </c>
      <c r="E16" s="355">
        <f>'Output Statements'!E199</f>
        <v>0</v>
      </c>
      <c r="F16" s="355">
        <f>'Output Statements'!F199</f>
        <v>0</v>
      </c>
      <c r="G16" s="355">
        <f>'Output Statements'!G199</f>
        <v>0</v>
      </c>
      <c r="H16" s="355">
        <f>'Output Statements'!H199</f>
        <v>0</v>
      </c>
      <c r="I16" s="355">
        <f>'Output Statements'!I199</f>
        <v>0</v>
      </c>
      <c r="J16" s="85"/>
      <c r="K16" s="85"/>
      <c r="L16" s="85"/>
      <c r="M16" s="85"/>
      <c r="N16" s="85"/>
      <c r="O16" s="85"/>
      <c r="P16" s="85"/>
    </row>
    <row r="17" spans="1:16" ht="12.75" x14ac:dyDescent="0.2">
      <c r="A17" s="331" t="s">
        <v>272</v>
      </c>
      <c r="B17" s="313">
        <f>B16</f>
        <v>0</v>
      </c>
      <c r="C17" s="313"/>
      <c r="D17" s="313">
        <f>C16+D16</f>
        <v>0</v>
      </c>
      <c r="E17" s="313"/>
      <c r="F17" s="313">
        <f>F16</f>
        <v>0</v>
      </c>
      <c r="G17" s="313">
        <f>G16</f>
        <v>0</v>
      </c>
      <c r="H17" s="313">
        <f>H16</f>
        <v>0</v>
      </c>
      <c r="I17" s="313">
        <f>+I16</f>
        <v>0</v>
      </c>
      <c r="J17" s="297"/>
      <c r="K17" s="85"/>
      <c r="L17" s="85"/>
      <c r="M17" s="85"/>
      <c r="N17" s="85"/>
      <c r="O17" s="85"/>
      <c r="P17" s="85"/>
    </row>
    <row r="18" spans="1:16" ht="13.5" thickBot="1" x14ac:dyDescent="0.25">
      <c r="A18" s="331" t="s">
        <v>70</v>
      </c>
      <c r="B18" s="340">
        <v>0</v>
      </c>
      <c r="C18" s="340">
        <v>0</v>
      </c>
      <c r="D18" s="340">
        <v>0</v>
      </c>
      <c r="E18" s="340">
        <v>0</v>
      </c>
      <c r="F18" s="340">
        <v>0</v>
      </c>
      <c r="G18" s="340">
        <v>0</v>
      </c>
      <c r="H18" s="340">
        <v>0</v>
      </c>
      <c r="I18" s="340">
        <v>0</v>
      </c>
      <c r="J18" s="297"/>
      <c r="K18" s="85"/>
      <c r="L18" s="85"/>
      <c r="M18" s="85"/>
      <c r="N18" s="85"/>
      <c r="O18" s="85"/>
      <c r="P18" s="85"/>
    </row>
    <row r="19" spans="1:16" ht="13.5" thickBot="1" x14ac:dyDescent="0.25">
      <c r="A19" s="141" t="s">
        <v>271</v>
      </c>
      <c r="B19" s="308">
        <f>'Opening Positions'!D17/1000</f>
        <v>0</v>
      </c>
      <c r="C19" s="107"/>
      <c r="D19" s="107"/>
      <c r="E19" s="105">
        <f>SUM(B16:I16)+B19</f>
        <v>0</v>
      </c>
      <c r="F19" s="104" t="s">
        <v>72</v>
      </c>
      <c r="G19" s="105"/>
      <c r="H19" s="107"/>
      <c r="I19" s="107"/>
      <c r="J19" s="297"/>
      <c r="K19" s="85"/>
      <c r="L19" s="85"/>
      <c r="M19" s="85"/>
      <c r="N19" s="85"/>
      <c r="O19" s="85"/>
      <c r="P19" s="85"/>
    </row>
    <row r="20" spans="1:16" ht="13.5" thickBot="1" x14ac:dyDescent="0.25">
      <c r="A20" s="129"/>
      <c r="B20" s="109"/>
      <c r="C20" s="109"/>
      <c r="D20" s="109"/>
      <c r="E20" s="131">
        <f>SUM(B17:I17)</f>
        <v>0</v>
      </c>
      <c r="F20" s="142" t="s">
        <v>73</v>
      </c>
      <c r="G20" s="109"/>
      <c r="H20" s="109"/>
      <c r="I20" s="109"/>
      <c r="J20" s="297"/>
      <c r="K20" s="85"/>
      <c r="L20" s="85"/>
      <c r="M20" s="85"/>
      <c r="N20" s="85"/>
      <c r="O20" s="85"/>
      <c r="P20" s="85"/>
    </row>
    <row r="21" spans="1:16" ht="24" thickBot="1" x14ac:dyDescent="0.4">
      <c r="A21" s="23" t="s">
        <v>82</v>
      </c>
      <c r="B21" s="356"/>
      <c r="C21" s="24"/>
      <c r="D21" s="24"/>
      <c r="E21" s="24" t="str">
        <f>Assumptions!B7</f>
        <v>Millions FM</v>
      </c>
      <c r="F21" s="24"/>
      <c r="G21" s="24"/>
      <c r="H21" s="24"/>
      <c r="I21" s="24"/>
      <c r="J21" s="85"/>
      <c r="K21" s="85"/>
      <c r="L21" s="85"/>
      <c r="M21" s="85"/>
      <c r="N21" s="85"/>
      <c r="O21" s="85"/>
      <c r="P21" s="85"/>
    </row>
    <row r="22" spans="1:16" ht="12.75" x14ac:dyDescent="0.2">
      <c r="A22" s="357"/>
      <c r="B22" s="82">
        <f>Assumptions!B4+1</f>
        <v>2018</v>
      </c>
      <c r="C22" s="82">
        <f>B22+1</f>
        <v>2019</v>
      </c>
      <c r="D22" s="82">
        <f t="shared" ref="D22:I22" si="1">C22+1</f>
        <v>2020</v>
      </c>
      <c r="E22" s="82">
        <f t="shared" si="1"/>
        <v>2021</v>
      </c>
      <c r="F22" s="82">
        <f t="shared" si="1"/>
        <v>2022</v>
      </c>
      <c r="G22" s="82">
        <f t="shared" si="1"/>
        <v>2023</v>
      </c>
      <c r="H22" s="82">
        <f t="shared" si="1"/>
        <v>2024</v>
      </c>
      <c r="I22" s="82">
        <f t="shared" si="1"/>
        <v>2025</v>
      </c>
      <c r="J22" s="85"/>
      <c r="K22" s="85"/>
      <c r="L22" s="85"/>
      <c r="M22" s="85"/>
      <c r="N22" s="85"/>
      <c r="O22" s="85"/>
      <c r="P22" s="85"/>
    </row>
    <row r="23" spans="1:16" ht="12.75" x14ac:dyDescent="0.2">
      <c r="A23" s="112" t="s">
        <v>247</v>
      </c>
      <c r="B23" s="255">
        <f>IF('Projects &amp; Financing'!B16=0,0,'Projects &amp; Financing'!B16)</f>
        <v>0</v>
      </c>
      <c r="C23" s="255">
        <f>IF('Projects &amp; Financing'!C16=0,0,'Projects &amp; Financing'!C16)</f>
        <v>0</v>
      </c>
      <c r="D23" s="255">
        <f>IF('Projects &amp; Financing'!D16=0,0,'Projects &amp; Financing'!D16)</f>
        <v>0</v>
      </c>
      <c r="E23" s="255">
        <f>IF('Projects &amp; Financing'!E16=0,0,'Projects &amp; Financing'!E16)</f>
        <v>0</v>
      </c>
      <c r="F23" s="255">
        <f>IF('Projects &amp; Financing'!F16=0,0,'Projects &amp; Financing'!F16)</f>
        <v>0</v>
      </c>
      <c r="G23" s="255">
        <f>IF('Projects &amp; Financing'!G16=0,0,'Projects &amp; Financing'!G16)</f>
        <v>0</v>
      </c>
      <c r="H23" s="255">
        <f>IF('Projects &amp; Financing'!H16=0,0,'Projects &amp; Financing'!H16)</f>
        <v>0</v>
      </c>
      <c r="I23" s="255">
        <f>IF('Projects &amp; Financing'!I16=0,0,'Projects &amp; Financing'!I16)</f>
        <v>0</v>
      </c>
      <c r="J23" s="85"/>
      <c r="K23" s="85"/>
      <c r="L23" s="85"/>
      <c r="M23" s="85"/>
      <c r="N23" s="85"/>
      <c r="O23" s="85"/>
      <c r="P23" s="85"/>
    </row>
    <row r="24" spans="1:16" ht="12.75" x14ac:dyDescent="0.2">
      <c r="A24" s="106" t="s">
        <v>83</v>
      </c>
      <c r="B24" s="107"/>
      <c r="C24" s="107"/>
      <c r="D24" s="107"/>
      <c r="E24" s="107"/>
      <c r="F24" s="107"/>
      <c r="G24" s="107"/>
      <c r="H24" s="107"/>
      <c r="I24" s="107"/>
      <c r="J24" s="85"/>
      <c r="K24" s="85"/>
      <c r="L24" s="85"/>
      <c r="M24" s="85"/>
      <c r="N24" s="85"/>
      <c r="O24" s="85"/>
      <c r="P24" s="85"/>
    </row>
    <row r="25" spans="1:16" ht="12.75" x14ac:dyDescent="0.2">
      <c r="A25" s="413" t="str">
        <f>'Output Statements'!A170</f>
        <v>Outstanding Loans</v>
      </c>
      <c r="B25" s="409"/>
      <c r="C25" s="409"/>
      <c r="D25" s="409"/>
      <c r="E25" s="409"/>
      <c r="F25" s="409"/>
      <c r="G25" s="409"/>
      <c r="H25" s="409"/>
      <c r="I25" s="409"/>
      <c r="J25" s="85"/>
      <c r="K25" s="85"/>
      <c r="L25" s="85"/>
      <c r="M25" s="85"/>
      <c r="N25" s="85"/>
      <c r="O25" s="85"/>
      <c r="P25" s="85"/>
    </row>
    <row r="26" spans="1:16" ht="12.75" x14ac:dyDescent="0.2">
      <c r="A26" s="413" t="str">
        <f>Dashboard!D30</f>
        <v>Grants</v>
      </c>
      <c r="B26" s="412">
        <f>Dashboard!F30</f>
        <v>0</v>
      </c>
      <c r="C26" s="412">
        <f>Dashboard!G30</f>
        <v>0</v>
      </c>
      <c r="D26" s="412">
        <f>Dashboard!H30</f>
        <v>0</v>
      </c>
      <c r="E26" s="412">
        <f>Dashboard!I30</f>
        <v>0</v>
      </c>
      <c r="F26" s="412">
        <f>Dashboard!J30</f>
        <v>0</v>
      </c>
      <c r="G26" s="412"/>
      <c r="H26" s="412"/>
      <c r="I26" s="412"/>
      <c r="J26" s="451"/>
      <c r="K26" s="451"/>
      <c r="L26" s="451"/>
      <c r="M26" s="451"/>
      <c r="N26" s="451"/>
      <c r="O26" s="451"/>
      <c r="P26" s="85"/>
    </row>
    <row r="27" spans="1:16" ht="12.75" x14ac:dyDescent="0.2">
      <c r="A27" s="413" t="s">
        <v>344</v>
      </c>
      <c r="B27" s="412">
        <f>Dashboard!F31</f>
        <v>0</v>
      </c>
      <c r="C27" s="412">
        <f>Dashboard!G31</f>
        <v>0</v>
      </c>
      <c r="D27" s="412">
        <f>Dashboard!H31</f>
        <v>0</v>
      </c>
      <c r="E27" s="412">
        <f>Dashboard!I31</f>
        <v>0</v>
      </c>
      <c r="F27" s="412">
        <f>Dashboard!J31</f>
        <v>0</v>
      </c>
      <c r="G27" s="412"/>
      <c r="H27" s="412"/>
      <c r="I27" s="412"/>
      <c r="J27" s="451"/>
      <c r="K27" s="451"/>
      <c r="L27" s="451"/>
      <c r="M27" s="451"/>
      <c r="N27" s="451"/>
      <c r="O27" s="451"/>
      <c r="P27" s="85"/>
    </row>
    <row r="28" spans="1:16" ht="12.75" x14ac:dyDescent="0.2">
      <c r="A28" s="413" t="s">
        <v>345</v>
      </c>
      <c r="B28" s="412">
        <f>Dashboard!F32</f>
        <v>0</v>
      </c>
      <c r="C28" s="412">
        <f>Dashboard!G32</f>
        <v>0</v>
      </c>
      <c r="D28" s="412">
        <f>Dashboard!H32</f>
        <v>0</v>
      </c>
      <c r="E28" s="412">
        <f>Dashboard!I32</f>
        <v>0</v>
      </c>
      <c r="F28" s="412">
        <f>Dashboard!J32</f>
        <v>0</v>
      </c>
      <c r="G28" s="412"/>
      <c r="H28" s="412"/>
      <c r="I28" s="412"/>
      <c r="J28" s="451"/>
      <c r="K28" s="451"/>
      <c r="L28" s="451"/>
      <c r="M28" s="451"/>
      <c r="N28" s="451"/>
      <c r="O28" s="451"/>
      <c r="P28" s="85"/>
    </row>
    <row r="29" spans="1:16" ht="12.75" x14ac:dyDescent="0.2">
      <c r="A29" s="411" t="str">
        <f>D43</f>
        <v>Loan3</v>
      </c>
      <c r="B29" s="412"/>
      <c r="C29" s="412"/>
      <c r="D29" s="412"/>
      <c r="E29" s="412"/>
      <c r="F29" s="412"/>
      <c r="G29" s="412"/>
      <c r="H29" s="412"/>
      <c r="I29" s="412"/>
      <c r="J29" s="451"/>
      <c r="K29" s="451"/>
      <c r="L29" s="451"/>
      <c r="M29" s="451"/>
      <c r="N29" s="451"/>
      <c r="O29" s="451"/>
      <c r="P29" s="85"/>
    </row>
    <row r="30" spans="1:16" ht="12.75" x14ac:dyDescent="0.2">
      <c r="A30" s="112" t="s">
        <v>84</v>
      </c>
      <c r="B30" s="256">
        <f>B23-SUM(B25:B29)</f>
        <v>0</v>
      </c>
      <c r="C30" s="256">
        <f>C23-SUM(C25:C29)</f>
        <v>0</v>
      </c>
      <c r="D30" s="256">
        <f>D23-SUM(D25:D29)</f>
        <v>0</v>
      </c>
      <c r="E30" s="256">
        <f>E23-SUM(E25:E29)</f>
        <v>0</v>
      </c>
      <c r="F30" s="256">
        <f>F23-SUM(F25:F29)</f>
        <v>0</v>
      </c>
      <c r="G30" s="256"/>
      <c r="H30" s="256"/>
      <c r="I30" s="256"/>
      <c r="J30" s="451"/>
      <c r="K30" s="451"/>
      <c r="L30" s="451"/>
      <c r="M30" s="451"/>
      <c r="N30" s="451"/>
      <c r="O30" s="451"/>
      <c r="P30" s="85"/>
    </row>
    <row r="31" spans="1:16" ht="6.75" customHeight="1" x14ac:dyDescent="0.2">
      <c r="A31" s="452"/>
      <c r="B31" s="453"/>
      <c r="C31" s="453"/>
      <c r="D31" s="453"/>
      <c r="E31" s="453"/>
      <c r="F31" s="453"/>
      <c r="G31" s="453"/>
      <c r="H31" s="453"/>
      <c r="I31" s="453"/>
      <c r="J31" s="453"/>
      <c r="K31" s="453"/>
      <c r="L31" s="453"/>
      <c r="M31" s="453"/>
      <c r="N31" s="453"/>
      <c r="O31" s="451"/>
      <c r="P31" s="85"/>
    </row>
    <row r="32" spans="1:16" ht="16.5" x14ac:dyDescent="0.25">
      <c r="A32" s="454" t="s">
        <v>85</v>
      </c>
      <c r="B32" s="455"/>
      <c r="C32" s="455"/>
      <c r="D32" s="455"/>
      <c r="E32" s="455"/>
      <c r="F32" s="455"/>
      <c r="G32" s="455"/>
      <c r="H32" s="455"/>
      <c r="I32" s="455"/>
      <c r="J32" s="455"/>
      <c r="K32" s="455"/>
      <c r="L32" s="455"/>
      <c r="M32" s="455"/>
      <c r="N32" s="455"/>
      <c r="O32" s="451"/>
      <c r="P32" s="85"/>
    </row>
    <row r="33" spans="1:16" ht="12.75" x14ac:dyDescent="0.2">
      <c r="A33" s="113" t="s">
        <v>71</v>
      </c>
      <c r="B33" s="456">
        <f>'Opening Positions'!G13</f>
        <v>3600</v>
      </c>
      <c r="C33" s="457">
        <f t="shared" ref="C33:N33" si="2">B39</f>
        <v>2800</v>
      </c>
      <c r="D33" s="457">
        <f t="shared" si="2"/>
        <v>2000</v>
      </c>
      <c r="E33" s="457">
        <f t="shared" si="2"/>
        <v>1200</v>
      </c>
      <c r="F33" s="457">
        <f t="shared" si="2"/>
        <v>400</v>
      </c>
      <c r="G33" s="457">
        <f t="shared" si="2"/>
        <v>100</v>
      </c>
      <c r="H33" s="457">
        <f t="shared" si="2"/>
        <v>100</v>
      </c>
      <c r="I33" s="457">
        <f t="shared" si="2"/>
        <v>100</v>
      </c>
      <c r="J33" s="457">
        <f t="shared" si="2"/>
        <v>100</v>
      </c>
      <c r="K33" s="457">
        <f t="shared" si="2"/>
        <v>100</v>
      </c>
      <c r="L33" s="457">
        <f t="shared" si="2"/>
        <v>100</v>
      </c>
      <c r="M33" s="457">
        <f t="shared" si="2"/>
        <v>100</v>
      </c>
      <c r="N33" s="458">
        <f t="shared" si="2"/>
        <v>100</v>
      </c>
      <c r="O33" s="451"/>
      <c r="P33" s="85"/>
    </row>
    <row r="34" spans="1:16" ht="12.75" x14ac:dyDescent="0.2">
      <c r="A34" s="114" t="s">
        <v>86</v>
      </c>
      <c r="B34" s="459">
        <f t="shared" ref="B34:N34" si="3">B25</f>
        <v>0</v>
      </c>
      <c r="C34" s="460">
        <f t="shared" si="3"/>
        <v>0</v>
      </c>
      <c r="D34" s="460">
        <f t="shared" si="3"/>
        <v>0</v>
      </c>
      <c r="E34" s="460">
        <f t="shared" si="3"/>
        <v>0</v>
      </c>
      <c r="F34" s="460">
        <f t="shared" si="3"/>
        <v>0</v>
      </c>
      <c r="G34" s="460">
        <f t="shared" si="3"/>
        <v>0</v>
      </c>
      <c r="H34" s="460">
        <f t="shared" si="3"/>
        <v>0</v>
      </c>
      <c r="I34" s="460">
        <f t="shared" si="3"/>
        <v>0</v>
      </c>
      <c r="J34" s="460">
        <f t="shared" si="3"/>
        <v>0</v>
      </c>
      <c r="K34" s="460">
        <f t="shared" si="3"/>
        <v>0</v>
      </c>
      <c r="L34" s="460">
        <f t="shared" si="3"/>
        <v>0</v>
      </c>
      <c r="M34" s="460">
        <f t="shared" si="3"/>
        <v>0</v>
      </c>
      <c r="N34" s="460">
        <f t="shared" si="3"/>
        <v>0</v>
      </c>
      <c r="O34" s="451"/>
      <c r="P34" s="85"/>
    </row>
    <row r="35" spans="1:16" ht="12.75" x14ac:dyDescent="0.2">
      <c r="A35" s="114" t="s">
        <v>87</v>
      </c>
      <c r="B35" s="460">
        <f>B37-B36</f>
        <v>300</v>
      </c>
      <c r="C35" s="460">
        <f t="shared" ref="C35:N35" si="4">C37-C36</f>
        <v>290</v>
      </c>
      <c r="D35" s="460">
        <f t="shared" si="4"/>
        <v>270</v>
      </c>
      <c r="E35" s="460">
        <f t="shared" si="4"/>
        <v>200</v>
      </c>
      <c r="F35" s="460">
        <f t="shared" si="4"/>
        <v>80</v>
      </c>
      <c r="G35" s="460">
        <f t="shared" si="4"/>
        <v>0</v>
      </c>
      <c r="H35" s="460">
        <f t="shared" si="4"/>
        <v>0</v>
      </c>
      <c r="I35" s="460">
        <f t="shared" si="4"/>
        <v>0</v>
      </c>
      <c r="J35" s="460">
        <f t="shared" si="4"/>
        <v>0</v>
      </c>
      <c r="K35" s="460">
        <f t="shared" si="4"/>
        <v>0</v>
      </c>
      <c r="L35" s="460">
        <f t="shared" si="4"/>
        <v>0</v>
      </c>
      <c r="M35" s="460">
        <f t="shared" si="4"/>
        <v>0</v>
      </c>
      <c r="N35" s="460">
        <f t="shared" si="4"/>
        <v>0</v>
      </c>
      <c r="O35" s="451"/>
      <c r="P35" s="85"/>
    </row>
    <row r="36" spans="1:16" ht="12.75" x14ac:dyDescent="0.2">
      <c r="A36" s="114" t="s">
        <v>88</v>
      </c>
      <c r="B36" s="465"/>
      <c r="C36" s="462"/>
      <c r="D36" s="462"/>
      <c r="E36" s="462"/>
      <c r="F36" s="461"/>
      <c r="G36" s="461"/>
      <c r="H36" s="461"/>
      <c r="I36" s="461"/>
      <c r="J36" s="461"/>
      <c r="K36" s="461"/>
      <c r="L36" s="461"/>
      <c r="M36" s="461"/>
      <c r="N36" s="462"/>
      <c r="O36" s="451"/>
      <c r="P36" s="85"/>
    </row>
    <row r="37" spans="1:16" ht="12.75" x14ac:dyDescent="0.2">
      <c r="A37" s="507" t="s">
        <v>89</v>
      </c>
      <c r="B37" s="463">
        <v>300</v>
      </c>
      <c r="C37" s="464">
        <v>290</v>
      </c>
      <c r="D37" s="464">
        <v>270</v>
      </c>
      <c r="E37" s="464">
        <v>200</v>
      </c>
      <c r="F37" s="464">
        <v>80</v>
      </c>
      <c r="G37" s="464"/>
      <c r="H37" s="464"/>
      <c r="I37" s="464"/>
      <c r="J37" s="464"/>
      <c r="K37" s="464"/>
      <c r="L37" s="464"/>
      <c r="M37" s="464"/>
      <c r="N37" s="461"/>
      <c r="O37" s="451"/>
      <c r="P37" s="85"/>
    </row>
    <row r="38" spans="1:16" ht="12.75" x14ac:dyDescent="0.2">
      <c r="A38" s="358" t="s">
        <v>90</v>
      </c>
      <c r="B38" s="465">
        <v>800</v>
      </c>
      <c r="C38" s="462">
        <v>800</v>
      </c>
      <c r="D38" s="462">
        <v>800</v>
      </c>
      <c r="E38" s="462">
        <v>800</v>
      </c>
      <c r="F38" s="462">
        <v>300</v>
      </c>
      <c r="G38" s="462"/>
      <c r="H38" s="462"/>
      <c r="I38" s="462"/>
      <c r="J38" s="462"/>
      <c r="K38" s="462"/>
      <c r="L38" s="462"/>
      <c r="M38" s="462"/>
      <c r="N38" s="462"/>
      <c r="O38" s="451"/>
      <c r="P38" s="85"/>
    </row>
    <row r="39" spans="1:16" ht="13.5" thickBot="1" x14ac:dyDescent="0.25">
      <c r="A39" s="115" t="s">
        <v>91</v>
      </c>
      <c r="B39" s="466">
        <f>+B33+B34-B38</f>
        <v>2800</v>
      </c>
      <c r="C39" s="467">
        <f t="shared" ref="C39:N39" si="5">+C33+C34-C38</f>
        <v>2000</v>
      </c>
      <c r="D39" s="467">
        <f t="shared" si="5"/>
        <v>1200</v>
      </c>
      <c r="E39" s="467">
        <f t="shared" si="5"/>
        <v>400</v>
      </c>
      <c r="F39" s="467">
        <f t="shared" si="5"/>
        <v>100</v>
      </c>
      <c r="G39" s="467">
        <f t="shared" si="5"/>
        <v>100</v>
      </c>
      <c r="H39" s="467">
        <f t="shared" si="5"/>
        <v>100</v>
      </c>
      <c r="I39" s="467">
        <f t="shared" si="5"/>
        <v>100</v>
      </c>
      <c r="J39" s="467">
        <f t="shared" si="5"/>
        <v>100</v>
      </c>
      <c r="K39" s="467">
        <f t="shared" si="5"/>
        <v>100</v>
      </c>
      <c r="L39" s="467">
        <f t="shared" si="5"/>
        <v>100</v>
      </c>
      <c r="M39" s="467">
        <f t="shared" si="5"/>
        <v>100</v>
      </c>
      <c r="N39" s="467">
        <f t="shared" si="5"/>
        <v>100</v>
      </c>
      <c r="O39" s="451"/>
      <c r="P39" s="85"/>
    </row>
    <row r="40" spans="1:16" ht="12.75" thickBot="1" x14ac:dyDescent="0.2">
      <c r="A40" s="451"/>
      <c r="B40" s="451"/>
      <c r="C40" s="451"/>
      <c r="D40" s="451"/>
      <c r="E40" s="451"/>
      <c r="F40" s="451"/>
      <c r="G40" s="451"/>
      <c r="H40" s="451"/>
      <c r="I40" s="451"/>
      <c r="J40" s="451"/>
      <c r="K40" s="451"/>
      <c r="L40" s="451"/>
      <c r="M40" s="451"/>
      <c r="N40" s="451"/>
      <c r="O40" s="451"/>
      <c r="P40" s="85"/>
    </row>
    <row r="41" spans="1:16" ht="16.5" x14ac:dyDescent="0.25">
      <c r="A41" s="116" t="s">
        <v>92</v>
      </c>
      <c r="B41" s="117"/>
      <c r="C41" s="117"/>
      <c r="D41" s="117"/>
      <c r="E41" s="118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</row>
    <row r="42" spans="1:16" x14ac:dyDescent="0.15">
      <c r="A42" s="111"/>
      <c r="B42" s="86"/>
      <c r="C42" s="86"/>
      <c r="D42" s="86"/>
      <c r="E42" s="119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</row>
    <row r="43" spans="1:16" ht="12.75" x14ac:dyDescent="0.2">
      <c r="A43" s="359" t="s">
        <v>93</v>
      </c>
      <c r="B43" s="364" t="s">
        <v>338</v>
      </c>
      <c r="C43" s="364" t="s">
        <v>339</v>
      </c>
      <c r="D43" s="364" t="s">
        <v>94</v>
      </c>
      <c r="E43" s="365" t="s">
        <v>95</v>
      </c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</row>
    <row r="44" spans="1:16" ht="12.75" x14ac:dyDescent="0.2">
      <c r="A44" s="360" t="s">
        <v>96</v>
      </c>
      <c r="B44" s="366">
        <v>8.5000000000000006E-2</v>
      </c>
      <c r="C44" s="366">
        <v>0.04</v>
      </c>
      <c r="D44" s="366">
        <v>0</v>
      </c>
      <c r="E44" s="367">
        <v>0</v>
      </c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</row>
    <row r="45" spans="1:16" ht="12.75" x14ac:dyDescent="0.2">
      <c r="A45" s="361" t="s">
        <v>97</v>
      </c>
      <c r="B45" s="368">
        <v>5</v>
      </c>
      <c r="C45" s="368">
        <v>15</v>
      </c>
      <c r="D45" s="368">
        <v>20</v>
      </c>
      <c r="E45" s="125" t="s">
        <v>98</v>
      </c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</row>
    <row r="46" spans="1:16" ht="12.75" x14ac:dyDescent="0.2">
      <c r="A46" s="361" t="s">
        <v>280</v>
      </c>
      <c r="B46" s="369"/>
      <c r="C46" s="369">
        <v>3</v>
      </c>
      <c r="D46" s="369">
        <v>5</v>
      </c>
      <c r="E46" s="123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</row>
    <row r="47" spans="1:16" ht="12.75" x14ac:dyDescent="0.2">
      <c r="A47" s="361" t="s">
        <v>279</v>
      </c>
      <c r="B47" s="369"/>
      <c r="C47" s="369"/>
      <c r="D47" s="369"/>
      <c r="E47" s="123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</row>
    <row r="48" spans="1:16" ht="12.75" x14ac:dyDescent="0.2">
      <c r="A48" s="362" t="s">
        <v>99</v>
      </c>
      <c r="B48" s="526">
        <f>Dashboard!B31</f>
        <v>2018</v>
      </c>
      <c r="C48" s="526">
        <f>Dashboard!B32</f>
        <v>2019</v>
      </c>
      <c r="D48" s="370">
        <v>2011</v>
      </c>
      <c r="E48" s="363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</row>
    <row r="49" spans="1:16" ht="12.75" x14ac:dyDescent="0.2">
      <c r="A49" s="120" t="s">
        <v>100</v>
      </c>
      <c r="B49" s="122">
        <f>B48+B46+1</f>
        <v>2019</v>
      </c>
      <c r="C49" s="122">
        <f>C48+C46+1</f>
        <v>2023</v>
      </c>
      <c r="D49" s="122">
        <f>D48+D46+1</f>
        <v>2017</v>
      </c>
      <c r="E49" s="123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</row>
    <row r="50" spans="1:16" ht="12.75" x14ac:dyDescent="0.2">
      <c r="A50" s="120" t="s">
        <v>281</v>
      </c>
      <c r="B50" s="122">
        <f>+B48+B47</f>
        <v>2018</v>
      </c>
      <c r="C50" s="122">
        <f>+C48+C47</f>
        <v>2019</v>
      </c>
      <c r="D50" s="122">
        <f>+D48+D47</f>
        <v>2011</v>
      </c>
      <c r="E50" s="123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</row>
    <row r="51" spans="1:16" ht="12.75" x14ac:dyDescent="0.2">
      <c r="A51" s="120" t="s">
        <v>101</v>
      </c>
      <c r="B51" s="258">
        <f>SUM('Output Statements'!B216:O216)+'Output Statements'!B215</f>
        <v>0</v>
      </c>
      <c r="C51" s="258">
        <f>SUM('Output Statements'!B224:O224)+'Output Statements'!B223</f>
        <v>0</v>
      </c>
      <c r="D51" s="258">
        <f>SUM('Output Statements'!B232:O232)+'Output Statements'!B231</f>
        <v>0</v>
      </c>
      <c r="E51" s="123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</row>
    <row r="52" spans="1:16" ht="13.5" thickBot="1" x14ac:dyDescent="0.25">
      <c r="A52" s="121" t="s">
        <v>102</v>
      </c>
      <c r="B52" s="259">
        <f>B51/(B45-B46)</f>
        <v>0</v>
      </c>
      <c r="C52" s="259">
        <f>C51/(C45-C46)</f>
        <v>0</v>
      </c>
      <c r="D52" s="259">
        <f>D51/(D45-D46)</f>
        <v>0</v>
      </c>
      <c r="E52" s="124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</row>
    <row r="53" spans="1:16" x14ac:dyDescent="0.15">
      <c r="A53" s="85"/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</row>
    <row r="54" spans="1:16" x14ac:dyDescent="0.15">
      <c r="A54" s="85"/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</row>
    <row r="55" spans="1:16" x14ac:dyDescent="0.15">
      <c r="A55" s="85"/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</row>
    <row r="56" spans="1:16" x14ac:dyDescent="0.15">
      <c r="A56" s="85"/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</row>
    <row r="57" spans="1:16" x14ac:dyDescent="0.15">
      <c r="A57" s="85"/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</row>
    <row r="58" spans="1:16" x14ac:dyDescent="0.15">
      <c r="A58" s="46"/>
      <c r="B58" s="46"/>
      <c r="C58" s="46"/>
      <c r="D58" s="46"/>
      <c r="E58" s="46"/>
      <c r="F58" s="46"/>
    </row>
    <row r="59" spans="1:16" x14ac:dyDescent="0.15">
      <c r="A59" s="46"/>
      <c r="B59" s="46"/>
      <c r="C59" s="46"/>
      <c r="D59" s="46"/>
      <c r="E59" s="46"/>
      <c r="F59" s="46"/>
    </row>
  </sheetData>
  <phoneticPr fontId="0" type="noConversion"/>
  <printOptions gridLines="1" gridLinesSet="0"/>
  <pageMargins left="0.9" right="0.75" top="1.37" bottom="1" header="0.5" footer="0.5"/>
  <pageSetup scale="62" orientation="landscape" horizontalDpi="300" verticalDpi="300" r:id="rId1"/>
  <headerFooter alignWithMargins="0">
    <oddFooter>&amp;C&amp;"Arial,Regular"Assumption Schedule - Page No. 8</oddFooter>
  </headerFooter>
  <ignoredErrors>
    <ignoredError sqref="B5:H5 A6:A11 B7:F7 I5 B8:F8 B9:I11 B6:F6 H6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syncHorizontal="1" syncRef="A7" transitionEvaluation="1"/>
  <dimension ref="A1:Q770"/>
  <sheetViews>
    <sheetView windowProtection="1" showGridLines="0" showRowColHeaders="0" topLeftCell="A7" zoomScale="85" zoomScaleNormal="85" workbookViewId="0">
      <selection activeCell="C19" sqref="C19"/>
    </sheetView>
  </sheetViews>
  <sheetFormatPr defaultColWidth="9.625" defaultRowHeight="12" x14ac:dyDescent="0.15"/>
  <cols>
    <col min="1" max="1" width="31.5" style="468" customWidth="1"/>
    <col min="2" max="15" width="11.625" style="468" customWidth="1"/>
    <col min="16" max="16384" width="9.625" style="468"/>
  </cols>
  <sheetData>
    <row r="1" spans="1:17" ht="23.25" x14ac:dyDescent="0.35">
      <c r="A1" s="54" t="str">
        <f>Assumptions!B3</f>
        <v>simulation water company</v>
      </c>
      <c r="B1" s="55"/>
      <c r="C1" s="55"/>
      <c r="D1" s="55"/>
      <c r="E1" s="144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56"/>
      <c r="Q1" s="56"/>
    </row>
    <row r="2" spans="1:17" ht="3.75" customHeight="1" x14ac:dyDescent="0.2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56"/>
      <c r="Q2" s="56"/>
    </row>
    <row r="3" spans="1:17" ht="18" x14ac:dyDescent="0.25">
      <c r="A3" s="57" t="s">
        <v>111</v>
      </c>
      <c r="B3" s="55"/>
      <c r="C3" s="55"/>
      <c r="D3" s="55"/>
      <c r="E3" s="144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56"/>
      <c r="Q3" s="56"/>
    </row>
    <row r="4" spans="1:17" ht="12.75" x14ac:dyDescent="0.2">
      <c r="A4" s="145" t="str">
        <f>Assumptions!B8</f>
        <v>Million FMs</v>
      </c>
      <c r="B4" s="145"/>
      <c r="C4" s="145"/>
      <c r="D4" s="145"/>
      <c r="E4" s="146"/>
      <c r="F4" s="145"/>
      <c r="G4" s="147"/>
      <c r="H4" s="145"/>
      <c r="I4" s="145"/>
      <c r="J4" s="145"/>
      <c r="K4" s="146" t="str">
        <f>Assumptions!B9</f>
        <v>15,000 FMs = 1US$</v>
      </c>
      <c r="L4" s="451"/>
      <c r="M4" s="145"/>
      <c r="N4" s="145"/>
      <c r="O4" s="145"/>
      <c r="P4" s="56"/>
      <c r="Q4" s="56"/>
    </row>
    <row r="5" spans="1:17" ht="12.75" x14ac:dyDescent="0.2">
      <c r="A5" s="75"/>
      <c r="B5" s="76">
        <f>Assumptions!B4+1</f>
        <v>2018</v>
      </c>
      <c r="C5" s="76">
        <f>B5+1</f>
        <v>2019</v>
      </c>
      <c r="D5" s="76">
        <f t="shared" ref="D5:O5" si="0">C5+1</f>
        <v>2020</v>
      </c>
      <c r="E5" s="76">
        <f t="shared" si="0"/>
        <v>2021</v>
      </c>
      <c r="F5" s="76">
        <f t="shared" si="0"/>
        <v>2022</v>
      </c>
      <c r="G5" s="76">
        <f t="shared" si="0"/>
        <v>2023</v>
      </c>
      <c r="H5" s="76">
        <f t="shared" si="0"/>
        <v>2024</v>
      </c>
      <c r="I5" s="76">
        <f t="shared" si="0"/>
        <v>2025</v>
      </c>
      <c r="J5" s="76">
        <f t="shared" si="0"/>
        <v>2026</v>
      </c>
      <c r="K5" s="76">
        <f t="shared" si="0"/>
        <v>2027</v>
      </c>
      <c r="L5" s="76">
        <f t="shared" si="0"/>
        <v>2028</v>
      </c>
      <c r="M5" s="76">
        <f t="shared" si="0"/>
        <v>2029</v>
      </c>
      <c r="N5" s="76">
        <f t="shared" si="0"/>
        <v>2030</v>
      </c>
      <c r="O5" s="76">
        <f t="shared" si="0"/>
        <v>2031</v>
      </c>
      <c r="P5" s="56"/>
      <c r="Q5" s="56"/>
    </row>
    <row r="6" spans="1:17" ht="12.75" x14ac:dyDescent="0.2">
      <c r="A6" s="148" t="s">
        <v>57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56"/>
      <c r="Q6" s="56"/>
    </row>
    <row r="7" spans="1:17" ht="12.75" x14ac:dyDescent="0.2">
      <c r="A7" s="149" t="s">
        <v>59</v>
      </c>
      <c r="B7" s="145" t="str">
        <f>Assumptions!B5</f>
        <v>FMs</v>
      </c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56"/>
      <c r="Q7" s="56"/>
    </row>
    <row r="8" spans="1:17" ht="12.75" x14ac:dyDescent="0.2">
      <c r="A8" s="149" t="s">
        <v>60</v>
      </c>
      <c r="B8" s="145" t="str">
        <f>Assumptions!B6</f>
        <v>Constant</v>
      </c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56"/>
      <c r="Q8" s="56"/>
    </row>
    <row r="9" spans="1:17" ht="12.75" x14ac:dyDescent="0.2">
      <c r="A9" s="149" t="s">
        <v>63</v>
      </c>
      <c r="B9" s="145" t="str">
        <f>Assumptions!B9</f>
        <v>15,000 FMs = 1US$</v>
      </c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56"/>
      <c r="Q9" s="56"/>
    </row>
    <row r="10" spans="1:17" ht="12.75" x14ac:dyDescent="0.2">
      <c r="A10" s="149" t="s">
        <v>65</v>
      </c>
      <c r="B10" s="150">
        <f>Assumptions!B11</f>
        <v>0</v>
      </c>
      <c r="C10" s="150">
        <f>Assumptions!C11</f>
        <v>0</v>
      </c>
      <c r="D10" s="150">
        <f>Assumptions!D11</f>
        <v>0</v>
      </c>
      <c r="E10" s="150">
        <f>Assumptions!E11</f>
        <v>0</v>
      </c>
      <c r="F10" s="150">
        <f>Assumptions!F11</f>
        <v>0</v>
      </c>
      <c r="G10" s="150">
        <f>Assumptions!G11</f>
        <v>0</v>
      </c>
      <c r="H10" s="150">
        <f>Assumptions!H11</f>
        <v>0</v>
      </c>
      <c r="I10" s="150">
        <f>Assumptions!I11</f>
        <v>0</v>
      </c>
      <c r="J10" s="150">
        <f>Assumptions!J11</f>
        <v>0</v>
      </c>
      <c r="K10" s="150">
        <f>Assumptions!K11</f>
        <v>0</v>
      </c>
      <c r="L10" s="150">
        <f>Assumptions!L11</f>
        <v>0</v>
      </c>
      <c r="M10" s="150">
        <f>Assumptions!M11</f>
        <v>0</v>
      </c>
      <c r="N10" s="150">
        <f>Assumptions!N11</f>
        <v>0</v>
      </c>
      <c r="O10" s="150">
        <f>Assumptions!O11</f>
        <v>0</v>
      </c>
      <c r="P10" s="56"/>
      <c r="Q10" s="56"/>
    </row>
    <row r="11" spans="1:17" ht="12.75" x14ac:dyDescent="0.2">
      <c r="A11" s="169" t="s">
        <v>66</v>
      </c>
      <c r="B11" s="265">
        <f>Assumptions!B12</f>
        <v>1</v>
      </c>
      <c r="C11" s="265">
        <f>Assumptions!C12</f>
        <v>1</v>
      </c>
      <c r="D11" s="265">
        <f>Assumptions!D12</f>
        <v>1</v>
      </c>
      <c r="E11" s="265">
        <f>Assumptions!E12</f>
        <v>1</v>
      </c>
      <c r="F11" s="265">
        <f>Assumptions!F12</f>
        <v>1</v>
      </c>
      <c r="G11" s="265">
        <f>Assumptions!G12</f>
        <v>1</v>
      </c>
      <c r="H11" s="265">
        <f>Assumptions!H12</f>
        <v>1</v>
      </c>
      <c r="I11" s="265">
        <f>Assumptions!I12</f>
        <v>1</v>
      </c>
      <c r="J11" s="265">
        <f>Assumptions!J12</f>
        <v>1</v>
      </c>
      <c r="K11" s="265">
        <f>Assumptions!K12</f>
        <v>1</v>
      </c>
      <c r="L11" s="265">
        <f>Assumptions!L12</f>
        <v>1</v>
      </c>
      <c r="M11" s="265">
        <f>Assumptions!M12</f>
        <v>1</v>
      </c>
      <c r="N11" s="265">
        <f>Assumptions!N12</f>
        <v>1</v>
      </c>
      <c r="O11" s="265">
        <f>Assumptions!O12</f>
        <v>1</v>
      </c>
      <c r="P11" s="56"/>
      <c r="Q11" s="56"/>
    </row>
    <row r="12" spans="1:17" ht="12.75" x14ac:dyDescent="0.2">
      <c r="A12" s="148" t="s">
        <v>112</v>
      </c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56"/>
      <c r="Q12" s="56"/>
    </row>
    <row r="13" spans="1:17" ht="12.75" x14ac:dyDescent="0.2">
      <c r="A13" s="149" t="s">
        <v>113</v>
      </c>
      <c r="B13" s="154">
        <f t="shared" ref="B13:O13" si="1">B58</f>
        <v>2462.3812499999995</v>
      </c>
      <c r="C13" s="154">
        <f t="shared" si="1"/>
        <v>2462.3812499999995</v>
      </c>
      <c r="D13" s="154">
        <f t="shared" si="1"/>
        <v>2462.3812499999995</v>
      </c>
      <c r="E13" s="154">
        <f t="shared" si="1"/>
        <v>2462.3812499999995</v>
      </c>
      <c r="F13" s="154">
        <f t="shared" si="1"/>
        <v>2462.3812499999995</v>
      </c>
      <c r="G13" s="154">
        <f t="shared" si="1"/>
        <v>2462.3812499999995</v>
      </c>
      <c r="H13" s="154">
        <f t="shared" si="1"/>
        <v>2462.3812499999995</v>
      </c>
      <c r="I13" s="154">
        <f t="shared" si="1"/>
        <v>2462.3812499999995</v>
      </c>
      <c r="J13" s="154">
        <f t="shared" si="1"/>
        <v>2462.3812499999995</v>
      </c>
      <c r="K13" s="154">
        <f t="shared" si="1"/>
        <v>2462.3812499999995</v>
      </c>
      <c r="L13" s="154">
        <f t="shared" si="1"/>
        <v>2462.3812499999995</v>
      </c>
      <c r="M13" s="154">
        <f t="shared" si="1"/>
        <v>2462.3812499999995</v>
      </c>
      <c r="N13" s="154">
        <f t="shared" si="1"/>
        <v>2462.3812499999995</v>
      </c>
      <c r="O13" s="154">
        <f t="shared" si="1"/>
        <v>2462.3812499999995</v>
      </c>
      <c r="P13" s="56"/>
      <c r="Q13" s="56"/>
    </row>
    <row r="14" spans="1:17" ht="12.75" x14ac:dyDescent="0.2">
      <c r="A14" s="149" t="s">
        <v>114</v>
      </c>
      <c r="B14" s="154">
        <f t="shared" ref="B14:O14" si="2">B75</f>
        <v>1241.5688985849054</v>
      </c>
      <c r="C14" s="154">
        <f t="shared" si="2"/>
        <v>1270.8048360849054</v>
      </c>
      <c r="D14" s="154">
        <f t="shared" si="2"/>
        <v>1255.4026485849054</v>
      </c>
      <c r="E14" s="154">
        <f t="shared" si="2"/>
        <v>1248.9280860849053</v>
      </c>
      <c r="F14" s="154">
        <f t="shared" si="2"/>
        <v>1240.6679985849055</v>
      </c>
      <c r="G14" s="154">
        <f t="shared" si="2"/>
        <v>1232.7650160849053</v>
      </c>
      <c r="H14" s="154">
        <f t="shared" si="2"/>
        <v>1224.7906125849054</v>
      </c>
      <c r="I14" s="154">
        <f t="shared" si="2"/>
        <v>1216.8304932849053</v>
      </c>
      <c r="J14" s="154">
        <f t="shared" si="2"/>
        <v>1208.8675171449054</v>
      </c>
      <c r="K14" s="154">
        <f t="shared" si="2"/>
        <v>1200.9051123729055</v>
      </c>
      <c r="L14" s="154">
        <f t="shared" si="2"/>
        <v>1192.9425933273055</v>
      </c>
      <c r="M14" s="154">
        <f t="shared" si="2"/>
        <v>1184.9800971364252</v>
      </c>
      <c r="N14" s="154">
        <f t="shared" si="2"/>
        <v>1177.0175963746015</v>
      </c>
      <c r="O14" s="154">
        <f t="shared" si="2"/>
        <v>1169.0550965269661</v>
      </c>
      <c r="P14" s="56"/>
      <c r="Q14" s="56"/>
    </row>
    <row r="15" spans="1:17" ht="12.75" x14ac:dyDescent="0.2">
      <c r="A15" s="149" t="s">
        <v>115</v>
      </c>
      <c r="B15" s="154">
        <f t="shared" ref="B15:O15" si="3">B86</f>
        <v>383.35463113207533</v>
      </c>
      <c r="C15" s="154">
        <f t="shared" si="3"/>
        <v>367.96588113207525</v>
      </c>
      <c r="D15" s="154">
        <f t="shared" si="3"/>
        <v>396.28763113207532</v>
      </c>
      <c r="E15" s="154">
        <f t="shared" si="3"/>
        <v>457.46728113207536</v>
      </c>
      <c r="F15" s="154">
        <f t="shared" si="3"/>
        <v>560.07535113207518</v>
      </c>
      <c r="G15" s="154">
        <f t="shared" si="3"/>
        <v>630.39773713207546</v>
      </c>
      <c r="H15" s="154">
        <f t="shared" si="3"/>
        <v>636.77725993207537</v>
      </c>
      <c r="I15" s="154">
        <f t="shared" si="3"/>
        <v>643.14535537207541</v>
      </c>
      <c r="J15" s="154">
        <f t="shared" si="3"/>
        <v>649.51573628407527</v>
      </c>
      <c r="K15" s="154">
        <f t="shared" si="3"/>
        <v>655.88566010167528</v>
      </c>
      <c r="L15" s="154">
        <f t="shared" si="3"/>
        <v>662.25567533815524</v>
      </c>
      <c r="M15" s="154">
        <f t="shared" si="3"/>
        <v>668.62567229085948</v>
      </c>
      <c r="N15" s="154">
        <f t="shared" si="3"/>
        <v>674.99567290031848</v>
      </c>
      <c r="O15" s="154">
        <f t="shared" si="3"/>
        <v>681.36567277842676</v>
      </c>
      <c r="P15" s="56"/>
      <c r="Q15" s="56"/>
    </row>
    <row r="16" spans="1:17" ht="12.75" x14ac:dyDescent="0.2">
      <c r="A16" s="149" t="s">
        <v>116</v>
      </c>
      <c r="B16" s="154">
        <f t="shared" ref="B16:O16" si="4">B97</f>
        <v>1001.8546311320754</v>
      </c>
      <c r="C16" s="154">
        <f t="shared" si="4"/>
        <v>976.46588113207531</v>
      </c>
      <c r="D16" s="154">
        <f t="shared" si="4"/>
        <v>984.78763113207538</v>
      </c>
      <c r="E16" s="154">
        <f t="shared" si="4"/>
        <v>975.96728113207541</v>
      </c>
      <c r="F16" s="154">
        <f t="shared" si="4"/>
        <v>958.57535113207518</v>
      </c>
      <c r="G16" s="154">
        <f t="shared" si="4"/>
        <v>948.89773713207546</v>
      </c>
      <c r="H16" s="154">
        <f t="shared" si="4"/>
        <v>955.27725993207537</v>
      </c>
      <c r="I16" s="154">
        <f t="shared" si="4"/>
        <v>961.64535537207553</v>
      </c>
      <c r="J16" s="154">
        <f t="shared" si="4"/>
        <v>968.01573628407527</v>
      </c>
      <c r="K16" s="154">
        <f t="shared" si="4"/>
        <v>974.38566010167528</v>
      </c>
      <c r="L16" s="154">
        <f t="shared" si="4"/>
        <v>980.75567533815524</v>
      </c>
      <c r="M16" s="154">
        <f t="shared" si="4"/>
        <v>987.12567229085948</v>
      </c>
      <c r="N16" s="154">
        <f t="shared" si="4"/>
        <v>993.4956729003186</v>
      </c>
      <c r="O16" s="154">
        <f t="shared" si="4"/>
        <v>999.86567277842687</v>
      </c>
      <c r="P16" s="56"/>
      <c r="Q16" s="56"/>
    </row>
    <row r="17" spans="1:17" ht="12.75" x14ac:dyDescent="0.2">
      <c r="A17" s="149" t="s">
        <v>231</v>
      </c>
      <c r="B17" s="152">
        <f>IF(ISERR(B63/B14)," ",(B63/B14))</f>
        <v>1.8841179012829692</v>
      </c>
      <c r="C17" s="152">
        <f t="shared" ref="C17:O17" si="5">IF(ISERR(C63/C14)," ",(C63/C14))</f>
        <v>1.8407721792331202</v>
      </c>
      <c r="D17" s="152">
        <f t="shared" si="5"/>
        <v>1.8633561034277129</v>
      </c>
      <c r="E17" s="152">
        <f t="shared" si="5"/>
        <v>1.8730159194618117</v>
      </c>
      <c r="F17" s="152">
        <f t="shared" si="5"/>
        <v>1.8854860366900255</v>
      </c>
      <c r="G17" s="152">
        <f t="shared" si="5"/>
        <v>1.8975734685667667</v>
      </c>
      <c r="H17" s="152">
        <f t="shared" si="5"/>
        <v>1.9099282468886789</v>
      </c>
      <c r="I17" s="152">
        <f t="shared" si="5"/>
        <v>1.9224223919512602</v>
      </c>
      <c r="J17" s="152">
        <f t="shared" si="5"/>
        <v>1.935085651920611</v>
      </c>
      <c r="K17" s="152">
        <f t="shared" si="5"/>
        <v>1.9479159205824172</v>
      </c>
      <c r="L17" s="152">
        <f t="shared" si="5"/>
        <v>1.9609176506770769</v>
      </c>
      <c r="M17" s="152">
        <f t="shared" si="5"/>
        <v>1.9740940739451789</v>
      </c>
      <c r="N17" s="152">
        <f t="shared" si="5"/>
        <v>1.9874487813141397</v>
      </c>
      <c r="O17" s="152">
        <f t="shared" si="5"/>
        <v>2.0009854064615857</v>
      </c>
      <c r="P17" s="56"/>
      <c r="Q17" s="56"/>
    </row>
    <row r="18" spans="1:17" ht="12.75" x14ac:dyDescent="0.2">
      <c r="A18" s="149" t="s">
        <v>117</v>
      </c>
      <c r="B18" s="154">
        <f t="shared" ref="B18:O18" si="6">B158</f>
        <v>10118.550743455189</v>
      </c>
      <c r="C18" s="154">
        <f t="shared" si="6"/>
        <v>9730.9769272307385</v>
      </c>
      <c r="D18" s="154">
        <f t="shared" si="6"/>
        <v>9413.6385079599058</v>
      </c>
      <c r="E18" s="154">
        <f t="shared" si="6"/>
        <v>9088.4884168140725</v>
      </c>
      <c r="F18" s="154">
        <f t="shared" si="6"/>
        <v>9347.5312570086462</v>
      </c>
      <c r="G18" s="154">
        <f t="shared" si="6"/>
        <v>9976.9411213282219</v>
      </c>
      <c r="H18" s="154">
        <f t="shared" si="6"/>
        <v>10612.721580822797</v>
      </c>
      <c r="I18" s="154">
        <f t="shared" si="6"/>
        <v>11254.871921282373</v>
      </c>
      <c r="J18" s="154">
        <f t="shared" si="6"/>
        <v>11903.392285548949</v>
      </c>
      <c r="K18" s="154">
        <f t="shared" si="6"/>
        <v>12558.282645054125</v>
      </c>
      <c r="L18" s="154">
        <f t="shared" si="6"/>
        <v>13219.543005511579</v>
      </c>
      <c r="M18" s="154">
        <f t="shared" si="6"/>
        <v>13887.173365778579</v>
      </c>
      <c r="N18" s="154">
        <f t="shared" si="6"/>
        <v>14561.173726083667</v>
      </c>
      <c r="O18" s="154">
        <f t="shared" si="6"/>
        <v>15241.544086381142</v>
      </c>
      <c r="P18" s="56"/>
      <c r="Q18" s="56"/>
    </row>
    <row r="19" spans="1:17" ht="12.75" x14ac:dyDescent="0.2">
      <c r="A19" s="149" t="s">
        <v>118</v>
      </c>
      <c r="B19" s="154">
        <f t="shared" ref="B19:O19" si="7">B157-B182+B175</f>
        <v>1181.8546311320756</v>
      </c>
      <c r="C19" s="154">
        <f t="shared" si="7"/>
        <v>1109.1263227201257</v>
      </c>
      <c r="D19" s="154">
        <f t="shared" si="7"/>
        <v>1112.2131768867926</v>
      </c>
      <c r="E19" s="154">
        <f t="shared" si="7"/>
        <v>1106.3724060534589</v>
      </c>
      <c r="F19" s="154">
        <f t="shared" si="7"/>
        <v>1684.9477571855339</v>
      </c>
      <c r="G19" s="154">
        <f t="shared" si="7"/>
        <v>2633.8454943176089</v>
      </c>
      <c r="H19" s="154">
        <f t="shared" si="7"/>
        <v>3589.1227542496845</v>
      </c>
      <c r="I19" s="154">
        <f t="shared" si="7"/>
        <v>4550.7681096217593</v>
      </c>
      <c r="J19" s="154">
        <f t="shared" si="7"/>
        <v>5518.7838459058357</v>
      </c>
      <c r="K19" s="154">
        <f t="shared" si="7"/>
        <v>6493.1695060075108</v>
      </c>
      <c r="L19" s="154">
        <f t="shared" si="7"/>
        <v>7473.9251813456649</v>
      </c>
      <c r="M19" s="154">
        <f t="shared" si="7"/>
        <v>8461.0508536365251</v>
      </c>
      <c r="N19" s="154">
        <f t="shared" si="7"/>
        <v>9454.5465265368421</v>
      </c>
      <c r="O19" s="154">
        <f t="shared" si="7"/>
        <v>10454.412199315271</v>
      </c>
      <c r="P19" s="56"/>
      <c r="Q19" s="56"/>
    </row>
    <row r="20" spans="1:17" ht="12.75" x14ac:dyDescent="0.2">
      <c r="A20" s="169" t="s">
        <v>119</v>
      </c>
      <c r="B20" s="162">
        <f t="shared" ref="B20:O20" si="8">IF(ISERR((B19/B14)*360)," ",(B19/B14)*360)</f>
        <v>342.68550677491976</v>
      </c>
      <c r="C20" s="162">
        <f t="shared" si="8"/>
        <v>314.19889572451081</v>
      </c>
      <c r="D20" s="162">
        <f t="shared" si="8"/>
        <v>318.93890309262451</v>
      </c>
      <c r="E20" s="162">
        <f t="shared" si="8"/>
        <v>318.90872710517948</v>
      </c>
      <c r="F20" s="162">
        <f t="shared" si="8"/>
        <v>488.91499843524065</v>
      </c>
      <c r="G20" s="162">
        <f t="shared" si="8"/>
        <v>769.15256807468825</v>
      </c>
      <c r="H20" s="162">
        <f t="shared" si="8"/>
        <v>1054.9429251445345</v>
      </c>
      <c r="I20" s="162">
        <f t="shared" si="8"/>
        <v>1346.3473577500592</v>
      </c>
      <c r="J20" s="162">
        <f t="shared" si="8"/>
        <v>1643.490420867972</v>
      </c>
      <c r="K20" s="162">
        <f t="shared" si="8"/>
        <v>1946.4826971582163</v>
      </c>
      <c r="L20" s="162">
        <f t="shared" si="8"/>
        <v>2255.4421984212117</v>
      </c>
      <c r="M20" s="162">
        <f t="shared" si="8"/>
        <v>2570.4890020262251</v>
      </c>
      <c r="N20" s="162">
        <f t="shared" si="8"/>
        <v>2891.7466994860551</v>
      </c>
      <c r="O20" s="162">
        <f t="shared" si="8"/>
        <v>3219.3421874934575</v>
      </c>
      <c r="P20" s="56"/>
      <c r="Q20" s="56"/>
    </row>
    <row r="21" spans="1:17" ht="12.75" x14ac:dyDescent="0.2">
      <c r="A21" s="148" t="s">
        <v>120</v>
      </c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56"/>
      <c r="Q21" s="56"/>
    </row>
    <row r="22" spans="1:17" ht="12.75" x14ac:dyDescent="0.2">
      <c r="A22" s="155" t="s">
        <v>67</v>
      </c>
      <c r="B22" s="154">
        <f>'Connections &amp; Opex'!B26</f>
        <v>2570</v>
      </c>
      <c r="C22" s="154">
        <f>'Connections &amp; Opex'!C26</f>
        <v>2570</v>
      </c>
      <c r="D22" s="154">
        <f>'Connections &amp; Opex'!D26</f>
        <v>2570</v>
      </c>
      <c r="E22" s="154">
        <f>'Connections &amp; Opex'!E26</f>
        <v>2570</v>
      </c>
      <c r="F22" s="154">
        <f>'Connections &amp; Opex'!F26</f>
        <v>2570</v>
      </c>
      <c r="G22" s="154">
        <f>'Connections &amp; Opex'!G26</f>
        <v>2570</v>
      </c>
      <c r="H22" s="154">
        <f>'Connections &amp; Opex'!H26</f>
        <v>2570</v>
      </c>
      <c r="I22" s="154">
        <f>'Connections &amp; Opex'!I26</f>
        <v>2570</v>
      </c>
      <c r="J22" s="154">
        <f>'Connections &amp; Opex'!J26</f>
        <v>2570</v>
      </c>
      <c r="K22" s="154">
        <f>'Connections &amp; Opex'!K26</f>
        <v>2570</v>
      </c>
      <c r="L22" s="154">
        <f>'Connections &amp; Opex'!L26</f>
        <v>2570</v>
      </c>
      <c r="M22" s="154">
        <f>'Connections &amp; Opex'!M26</f>
        <v>2570</v>
      </c>
      <c r="N22" s="154">
        <f>'Connections &amp; Opex'!N26</f>
        <v>2570</v>
      </c>
      <c r="O22" s="154">
        <f>'Connections &amp; Opex'!O26</f>
        <v>2570</v>
      </c>
      <c r="P22" s="56"/>
      <c r="Q22" s="56"/>
    </row>
    <row r="23" spans="1:17" ht="12.75" x14ac:dyDescent="0.2">
      <c r="A23" s="392" t="s">
        <v>306</v>
      </c>
      <c r="B23" s="288">
        <f>'Connections &amp; Opex'!B24/('Connections &amp; Opex'!B23/1000)</f>
        <v>7.5</v>
      </c>
      <c r="C23" s="288">
        <f>'Connections &amp; Opex'!C24/('Connections &amp; Opex'!C23/1000)</f>
        <v>7.5</v>
      </c>
      <c r="D23" s="288">
        <f>'Connections &amp; Opex'!D24/('Connections &amp; Opex'!D23/1000)</f>
        <v>7.5</v>
      </c>
      <c r="E23" s="288">
        <f>'Connections &amp; Opex'!E24/('Connections &amp; Opex'!E23/1000)</f>
        <v>7.5</v>
      </c>
      <c r="F23" s="288">
        <f>'Connections &amp; Opex'!F24/('Connections &amp; Opex'!F23/1000)</f>
        <v>7.5</v>
      </c>
      <c r="G23" s="288">
        <f>'Connections &amp; Opex'!G24/('Connections &amp; Opex'!G23/1000)</f>
        <v>7.5</v>
      </c>
      <c r="H23" s="288">
        <f>'Connections &amp; Opex'!H24/('Connections &amp; Opex'!H23/1000)</f>
        <v>7.5</v>
      </c>
      <c r="I23" s="288">
        <f>'Connections &amp; Opex'!I24/('Connections &amp; Opex'!I23/1000)</f>
        <v>7.5</v>
      </c>
      <c r="J23" s="288">
        <f>'Connections &amp; Opex'!J24/('Connections &amp; Opex'!J23/1000)</f>
        <v>7.5</v>
      </c>
      <c r="K23" s="288">
        <f>'Connections &amp; Opex'!K24/('Connections &amp; Opex'!K23/1000)</f>
        <v>7.5</v>
      </c>
      <c r="L23" s="288">
        <f>'Connections &amp; Opex'!L24/('Connections &amp; Opex'!L23/1000)</f>
        <v>7.5</v>
      </c>
      <c r="M23" s="288">
        <f>'Connections &amp; Opex'!M24/('Connections &amp; Opex'!M23/1000)</f>
        <v>7.5</v>
      </c>
      <c r="N23" s="288">
        <f>'Connections &amp; Opex'!N24/('Connections &amp; Opex'!N23/1000)</f>
        <v>7.5</v>
      </c>
      <c r="O23" s="288">
        <f>'Connections &amp; Opex'!O24/('Connections &amp; Opex'!O23/1000)</f>
        <v>7.5</v>
      </c>
      <c r="P23" s="56"/>
      <c r="Q23" s="56"/>
    </row>
    <row r="24" spans="1:17" ht="12.75" x14ac:dyDescent="0.2">
      <c r="A24" s="145" t="s">
        <v>75</v>
      </c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56"/>
      <c r="Q24" s="56"/>
    </row>
    <row r="25" spans="1:17" ht="12.75" x14ac:dyDescent="0.2">
      <c r="A25" s="158" t="s">
        <v>121</v>
      </c>
      <c r="B25" s="154">
        <f>'Connections &amp; Opex'!B23/1000</f>
        <v>328.31749999999994</v>
      </c>
      <c r="C25" s="154">
        <f>'Connections &amp; Opex'!C23/1000</f>
        <v>328.31749999999994</v>
      </c>
      <c r="D25" s="154">
        <f>'Connections &amp; Opex'!D23/1000</f>
        <v>328.31749999999994</v>
      </c>
      <c r="E25" s="154">
        <f>'Connections &amp; Opex'!E23/1000</f>
        <v>328.31749999999994</v>
      </c>
      <c r="F25" s="154">
        <f>'Connections &amp; Opex'!F23/1000</f>
        <v>328.31749999999994</v>
      </c>
      <c r="G25" s="154">
        <f>'Connections &amp; Opex'!G23/1000</f>
        <v>328.31749999999994</v>
      </c>
      <c r="H25" s="154">
        <f>'Connections &amp; Opex'!H23/1000</f>
        <v>328.31749999999994</v>
      </c>
      <c r="I25" s="154">
        <f>'Connections &amp; Opex'!I23/1000</f>
        <v>328.31749999999994</v>
      </c>
      <c r="J25" s="154">
        <f>'Connections &amp; Opex'!J23/1000</f>
        <v>328.31749999999994</v>
      </c>
      <c r="K25" s="154">
        <f>'Connections &amp; Opex'!K23/1000</f>
        <v>328.31749999999994</v>
      </c>
      <c r="L25" s="154">
        <f>'Connections &amp; Opex'!L23/1000</f>
        <v>328.31749999999994</v>
      </c>
      <c r="M25" s="154">
        <f>'Connections &amp; Opex'!M23/1000</f>
        <v>328.31749999999994</v>
      </c>
      <c r="N25" s="154">
        <f>'Connections &amp; Opex'!N23/1000</f>
        <v>328.31749999999994</v>
      </c>
      <c r="O25" s="154">
        <f>'Connections &amp; Opex'!O23/1000</f>
        <v>328.31749999999994</v>
      </c>
      <c r="P25" s="56"/>
      <c r="Q25" s="56"/>
    </row>
    <row r="26" spans="1:17" ht="12.75" x14ac:dyDescent="0.2">
      <c r="A26" s="158" t="s">
        <v>122</v>
      </c>
      <c r="B26" s="159">
        <f>'Connections &amp; Opex'!B5</f>
        <v>0.47</v>
      </c>
      <c r="C26" s="159">
        <f>'Connections &amp; Opex'!C5</f>
        <v>0.47</v>
      </c>
      <c r="D26" s="159">
        <f>'Connections &amp; Opex'!D5</f>
        <v>0.47</v>
      </c>
      <c r="E26" s="159">
        <f>'Connections &amp; Opex'!E5</f>
        <v>0.47</v>
      </c>
      <c r="F26" s="159">
        <f>'Connections &amp; Opex'!F5</f>
        <v>0.47</v>
      </c>
      <c r="G26" s="159">
        <f>'Connections &amp; Opex'!G5</f>
        <v>0.47</v>
      </c>
      <c r="H26" s="159">
        <f>'Connections &amp; Opex'!H5</f>
        <v>0.47</v>
      </c>
      <c r="I26" s="159">
        <f>'Connections &amp; Opex'!I5</f>
        <v>0.47</v>
      </c>
      <c r="J26" s="159">
        <f>'Connections &amp; Opex'!J5</f>
        <v>0.47</v>
      </c>
      <c r="K26" s="159">
        <f>'Connections &amp; Opex'!K5</f>
        <v>0.47</v>
      </c>
      <c r="L26" s="159">
        <f>'Connections &amp; Opex'!L5</f>
        <v>0.47</v>
      </c>
      <c r="M26" s="159">
        <f>'Connections &amp; Opex'!M5</f>
        <v>0.47</v>
      </c>
      <c r="N26" s="159">
        <f>'Connections &amp; Opex'!N5</f>
        <v>0.47</v>
      </c>
      <c r="O26" s="159">
        <f>'Connections &amp; Opex'!O5</f>
        <v>0.47</v>
      </c>
      <c r="P26" s="56"/>
      <c r="Q26" s="56"/>
    </row>
    <row r="27" spans="1:17" ht="12" customHeight="1" x14ac:dyDescent="0.2">
      <c r="A27" s="266" t="s">
        <v>123</v>
      </c>
      <c r="B27" s="162">
        <f>'Connections &amp; Opex'!B25</f>
        <v>30533.018867924693</v>
      </c>
      <c r="C27" s="162">
        <f>'Connections &amp; Opex'!C25</f>
        <v>30533.018867924693</v>
      </c>
      <c r="D27" s="162">
        <f>'Connections &amp; Opex'!D25</f>
        <v>30533.018867924693</v>
      </c>
      <c r="E27" s="162">
        <f>'Connections &amp; Opex'!E25</f>
        <v>30533.018867924693</v>
      </c>
      <c r="F27" s="162">
        <f>'Connections &amp; Opex'!F25</f>
        <v>30533.018867924693</v>
      </c>
      <c r="G27" s="162">
        <f>'Connections &amp; Opex'!G25</f>
        <v>30533.018867924693</v>
      </c>
      <c r="H27" s="162">
        <f>'Connections &amp; Opex'!H25</f>
        <v>30533.018867924693</v>
      </c>
      <c r="I27" s="162">
        <f>'Connections &amp; Opex'!I25</f>
        <v>30533.018867924693</v>
      </c>
      <c r="J27" s="162">
        <f>'Connections &amp; Opex'!J25</f>
        <v>30533.018867924693</v>
      </c>
      <c r="K27" s="162">
        <f>'Connections &amp; Opex'!K25</f>
        <v>30533.018867924693</v>
      </c>
      <c r="L27" s="162">
        <f>'Connections &amp; Opex'!L25</f>
        <v>30533.018867924693</v>
      </c>
      <c r="M27" s="162">
        <f>'Connections &amp; Opex'!M25</f>
        <v>30533.018867924693</v>
      </c>
      <c r="N27" s="162">
        <f>'Connections &amp; Opex'!N25</f>
        <v>30533.018867924693</v>
      </c>
      <c r="O27" s="162">
        <f>'Connections &amp; Opex'!O25</f>
        <v>30533.018867924693</v>
      </c>
      <c r="P27" s="56"/>
      <c r="Q27" s="56"/>
    </row>
    <row r="28" spans="1:17" ht="2.25" customHeight="1" x14ac:dyDescent="0.2">
      <c r="A28" s="158"/>
      <c r="B28" s="154"/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56"/>
      <c r="Q28" s="56"/>
    </row>
    <row r="29" spans="1:17" ht="12.75" x14ac:dyDescent="0.2">
      <c r="A29" s="148" t="s">
        <v>124</v>
      </c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56"/>
      <c r="Q29" s="56"/>
    </row>
    <row r="30" spans="1:17" ht="12.75" x14ac:dyDescent="0.2">
      <c r="A30" s="149" t="s">
        <v>125</v>
      </c>
      <c r="B30" s="145">
        <f t="shared" ref="B30:O30" si="9">IF(ISERR((+B154/B58)*360)," ",(B154/B58)*360)</f>
        <v>129.53200788870527</v>
      </c>
      <c r="C30" s="145">
        <f t="shared" si="9"/>
        <v>124.09359842225894</v>
      </c>
      <c r="D30" s="145">
        <f t="shared" si="9"/>
        <v>125.18128031554822</v>
      </c>
      <c r="E30" s="145">
        <f t="shared" si="9"/>
        <v>124.96374393689034</v>
      </c>
      <c r="F30" s="145">
        <f t="shared" si="9"/>
        <v>125.00725121262192</v>
      </c>
      <c r="G30" s="145">
        <f t="shared" si="9"/>
        <v>124.9985497574756</v>
      </c>
      <c r="H30" s="145">
        <f t="shared" si="9"/>
        <v>125.00029004850487</v>
      </c>
      <c r="I30" s="145">
        <f t="shared" si="9"/>
        <v>124.99994199029901</v>
      </c>
      <c r="J30" s="145">
        <f t="shared" si="9"/>
        <v>125.0000116019402</v>
      </c>
      <c r="K30" s="145">
        <f t="shared" si="9"/>
        <v>124.99999767961195</v>
      </c>
      <c r="L30" s="145">
        <f t="shared" si="9"/>
        <v>125.00000046407762</v>
      </c>
      <c r="M30" s="145">
        <f t="shared" si="9"/>
        <v>124.99999990718447</v>
      </c>
      <c r="N30" s="145">
        <f t="shared" si="9"/>
        <v>125.0000000185631</v>
      </c>
      <c r="O30" s="145">
        <f t="shared" si="9"/>
        <v>124.99999999628739</v>
      </c>
      <c r="P30" s="56"/>
      <c r="Q30" s="56"/>
    </row>
    <row r="31" spans="1:17" ht="12.75" x14ac:dyDescent="0.2">
      <c r="A31" s="149" t="s">
        <v>126</v>
      </c>
      <c r="B31" s="151">
        <f t="shared" ref="B31:O31" si="10">IF(ISERR(+B157/B182)," ",B157/B182)</f>
        <v>1.3997656881196623</v>
      </c>
      <c r="C31" s="151">
        <f t="shared" si="10"/>
        <v>1.3223925826045657</v>
      </c>
      <c r="D31" s="151">
        <f t="shared" si="10"/>
        <v>1.3262670207890421</v>
      </c>
      <c r="E31" s="151">
        <f t="shared" si="10"/>
        <v>2.7679107661859153</v>
      </c>
      <c r="F31" s="151">
        <f t="shared" si="10"/>
        <v>11.864777743005348</v>
      </c>
      <c r="G31" s="151">
        <f t="shared" si="10"/>
        <v>18.092279290548625</v>
      </c>
      <c r="H31" s="151">
        <f t="shared" si="10"/>
        <v>24.443176114322988</v>
      </c>
      <c r="I31" s="151">
        <f t="shared" si="10"/>
        <v>30.918830172223537</v>
      </c>
      <c r="J31" s="151">
        <f t="shared" si="10"/>
        <v>37.522009352621602</v>
      </c>
      <c r="K31" s="151">
        <f t="shared" si="10"/>
        <v>44.255171047960367</v>
      </c>
      <c r="L31" s="151">
        <f t="shared" si="10"/>
        <v>51.120937742693592</v>
      </c>
      <c r="M31" s="151">
        <f t="shared" si="10"/>
        <v>58.121977822805007</v>
      </c>
      <c r="N31" s="151">
        <f t="shared" si="10"/>
        <v>65.261037766356779</v>
      </c>
      <c r="O31" s="151">
        <f t="shared" si="10"/>
        <v>72.540937499854607</v>
      </c>
      <c r="P31" s="56"/>
      <c r="Q31" s="56"/>
    </row>
    <row r="32" spans="1:17" ht="12.75" x14ac:dyDescent="0.2">
      <c r="A32" s="149" t="s">
        <v>127</v>
      </c>
      <c r="B32" s="151">
        <f t="shared" ref="B32:O32" si="11">B176/B167</f>
        <v>0.27919879762869232</v>
      </c>
      <c r="C32" s="151">
        <f t="shared" si="11"/>
        <v>0.15847596155381169</v>
      </c>
      <c r="D32" s="151">
        <f t="shared" si="11"/>
        <v>4.9648037756578625E-2</v>
      </c>
      <c r="E32" s="151">
        <f t="shared" si="11"/>
        <v>1.1720069781418943E-2</v>
      </c>
      <c r="F32" s="151">
        <f t="shared" si="11"/>
        <v>1.0998138528865617E-2</v>
      </c>
      <c r="G32" s="151">
        <f t="shared" si="11"/>
        <v>1.0285054931546913E-2</v>
      </c>
      <c r="H32" s="151">
        <f t="shared" si="11"/>
        <v>9.6528611487303791E-3</v>
      </c>
      <c r="I32" s="151">
        <f t="shared" si="11"/>
        <v>9.0886219725517473E-3</v>
      </c>
      <c r="J32" s="151">
        <f t="shared" si="11"/>
        <v>8.5820085849638954E-3</v>
      </c>
      <c r="K32" s="151">
        <f t="shared" si="11"/>
        <v>8.1246849867635355E-3</v>
      </c>
      <c r="L32" s="151">
        <f t="shared" si="11"/>
        <v>7.7098474877926176E-3</v>
      </c>
      <c r="M32" s="151">
        <f t="shared" si="11"/>
        <v>7.3318884923240391E-3</v>
      </c>
      <c r="N32" s="151">
        <f t="shared" si="11"/>
        <v>6.9861446806540528E-3</v>
      </c>
      <c r="O32" s="151">
        <f t="shared" si="11"/>
        <v>6.6687063130259436E-3</v>
      </c>
      <c r="P32" s="56"/>
      <c r="Q32" s="56"/>
    </row>
    <row r="33" spans="1:17" ht="12.75" x14ac:dyDescent="0.2">
      <c r="A33" s="149" t="s">
        <v>128</v>
      </c>
      <c r="B33" s="151">
        <f t="shared" ref="B33:O33" si="12">IF(ISERR(+B100/B105)," ",B100/B105)</f>
        <v>0.80579377263793606</v>
      </c>
      <c r="C33" s="151">
        <f t="shared" si="12"/>
        <v>1.0796951894275428</v>
      </c>
      <c r="D33" s="151">
        <f t="shared" si="12"/>
        <v>1.0641365495687123</v>
      </c>
      <c r="E33" s="151">
        <f t="shared" si="12"/>
        <v>1.1379240627260219</v>
      </c>
      <c r="F33" s="151">
        <f t="shared" si="12"/>
        <v>2.9413528862855833</v>
      </c>
      <c r="G33" s="151" t="str">
        <f t="shared" si="12"/>
        <v xml:space="preserve"> </v>
      </c>
      <c r="H33" s="151" t="str">
        <f t="shared" si="12"/>
        <v xml:space="preserve"> </v>
      </c>
      <c r="I33" s="151" t="str">
        <f t="shared" si="12"/>
        <v xml:space="preserve"> </v>
      </c>
      <c r="J33" s="151" t="str">
        <f t="shared" si="12"/>
        <v xml:space="preserve"> </v>
      </c>
      <c r="K33" s="151" t="str">
        <f t="shared" si="12"/>
        <v xml:space="preserve"> </v>
      </c>
      <c r="L33" s="151" t="str">
        <f t="shared" si="12"/>
        <v xml:space="preserve"> </v>
      </c>
      <c r="M33" s="151" t="str">
        <f t="shared" si="12"/>
        <v xml:space="preserve"> </v>
      </c>
      <c r="N33" s="151" t="str">
        <f t="shared" si="12"/>
        <v xml:space="preserve"> </v>
      </c>
      <c r="O33" s="151" t="str">
        <f t="shared" si="12"/>
        <v xml:space="preserve"> </v>
      </c>
      <c r="P33" s="56"/>
      <c r="Q33" s="56"/>
    </row>
    <row r="34" spans="1:17" ht="12.75" x14ac:dyDescent="0.2">
      <c r="A34" s="149" t="s">
        <v>129</v>
      </c>
      <c r="B34" s="150" t="str">
        <f t="shared" ref="B34:O34" si="13">IF(ISERR(+B106/B111)," ",(B106/B111))</f>
        <v xml:space="preserve"> </v>
      </c>
      <c r="C34" s="150" t="str">
        <f t="shared" si="13"/>
        <v xml:space="preserve"> </v>
      </c>
      <c r="D34" s="150" t="str">
        <f t="shared" si="13"/>
        <v xml:space="preserve"> </v>
      </c>
      <c r="E34" s="150" t="str">
        <f t="shared" si="13"/>
        <v xml:space="preserve"> </v>
      </c>
      <c r="F34" s="150" t="str">
        <f t="shared" si="13"/>
        <v xml:space="preserve"> </v>
      </c>
      <c r="G34" s="150" t="str">
        <f t="shared" si="13"/>
        <v xml:space="preserve"> </v>
      </c>
      <c r="H34" s="150" t="str">
        <f t="shared" si="13"/>
        <v xml:space="preserve"> </v>
      </c>
      <c r="I34" s="150" t="str">
        <f t="shared" si="13"/>
        <v xml:space="preserve"> </v>
      </c>
      <c r="J34" s="150" t="str">
        <f t="shared" si="13"/>
        <v xml:space="preserve"> </v>
      </c>
      <c r="K34" s="150" t="str">
        <f t="shared" si="13"/>
        <v xml:space="preserve"> </v>
      </c>
      <c r="L34" s="150" t="str">
        <f t="shared" si="13"/>
        <v xml:space="preserve"> </v>
      </c>
      <c r="M34" s="150" t="str">
        <f t="shared" si="13"/>
        <v xml:space="preserve"> </v>
      </c>
      <c r="N34" s="150" t="str">
        <f t="shared" si="13"/>
        <v xml:space="preserve"> </v>
      </c>
      <c r="O34" s="150" t="str">
        <f t="shared" si="13"/>
        <v xml:space="preserve"> </v>
      </c>
      <c r="P34" s="56"/>
      <c r="Q34" s="56"/>
    </row>
    <row r="35" spans="1:17" ht="12.75" x14ac:dyDescent="0.2">
      <c r="A35" s="149" t="s">
        <v>130</v>
      </c>
      <c r="B35" s="150">
        <f t="shared" ref="B35:O35" si="14">IF(ISERR(+B15/B13)," ",B15/B13)</f>
        <v>0.15568451519523038</v>
      </c>
      <c r="C35" s="150">
        <f t="shared" si="14"/>
        <v>0.14943497524279611</v>
      </c>
      <c r="D35" s="150">
        <f t="shared" si="14"/>
        <v>0.16093674817093226</v>
      </c>
      <c r="E35" s="150">
        <f t="shared" si="14"/>
        <v>0.18578247423386426</v>
      </c>
      <c r="F35" s="150">
        <f t="shared" si="14"/>
        <v>0.22745273549011766</v>
      </c>
      <c r="G35" s="150">
        <f t="shared" si="14"/>
        <v>0.25601142679756661</v>
      </c>
      <c r="H35" s="150">
        <f t="shared" si="14"/>
        <v>0.25860222089169804</v>
      </c>
      <c r="I35" s="150">
        <f t="shared" si="14"/>
        <v>0.26118837420975144</v>
      </c>
      <c r="J35" s="150">
        <f t="shared" si="14"/>
        <v>0.26377545568302041</v>
      </c>
      <c r="K35" s="150">
        <f t="shared" si="14"/>
        <v>0.26636235152524634</v>
      </c>
      <c r="L35" s="150">
        <f t="shared" si="14"/>
        <v>0.26894928449368083</v>
      </c>
      <c r="M35" s="150">
        <f t="shared" si="14"/>
        <v>0.27153621003687373</v>
      </c>
      <c r="N35" s="150">
        <f t="shared" si="14"/>
        <v>0.27412313706511476</v>
      </c>
      <c r="O35" s="150">
        <f t="shared" si="14"/>
        <v>0.27671006379634627</v>
      </c>
      <c r="P35" s="56"/>
      <c r="Q35" s="56"/>
    </row>
    <row r="36" spans="1:17" ht="12.75" x14ac:dyDescent="0.2">
      <c r="A36" s="149" t="s">
        <v>131</v>
      </c>
      <c r="B36" s="150">
        <f t="shared" ref="B36:O36" si="15">IF(ISERR(+B86/B146)," ",B86/B146)</f>
        <v>4.3654800561643836E-2</v>
      </c>
      <c r="C36" s="150">
        <f t="shared" si="15"/>
        <v>4.3479366788618135E-2</v>
      </c>
      <c r="D36" s="150">
        <f t="shared" si="15"/>
        <v>4.8657085288486134E-2</v>
      </c>
      <c r="E36" s="150">
        <f t="shared" si="15"/>
        <v>5.8454802086899481E-2</v>
      </c>
      <c r="F36" s="150">
        <f t="shared" si="15"/>
        <v>7.460211137290379E-2</v>
      </c>
      <c r="G36" s="150">
        <f t="shared" si="15"/>
        <v>8.7689210896101752E-2</v>
      </c>
      <c r="H36" s="150">
        <f t="shared" si="15"/>
        <v>9.268281201252826E-2</v>
      </c>
      <c r="I36" s="150">
        <f t="shared" si="15"/>
        <v>9.816015802382104E-2</v>
      </c>
      <c r="J36" s="150">
        <f t="shared" si="15"/>
        <v>0.10419759946804769</v>
      </c>
      <c r="K36" s="150">
        <f t="shared" si="15"/>
        <v>0.11088514963680056</v>
      </c>
      <c r="L36" s="150">
        <f t="shared" si="15"/>
        <v>0.11833390071261596</v>
      </c>
      <c r="M36" s="150">
        <f t="shared" si="15"/>
        <v>0.1266816355230882</v>
      </c>
      <c r="N36" s="150">
        <f t="shared" si="15"/>
        <v>0.1361015571933297</v>
      </c>
      <c r="O36" s="150">
        <f t="shared" si="15"/>
        <v>0.14681440913131369</v>
      </c>
      <c r="P36" s="56"/>
      <c r="Q36" s="56"/>
    </row>
    <row r="37" spans="1:17" ht="12.75" x14ac:dyDescent="0.2">
      <c r="A37" s="169" t="s">
        <v>132</v>
      </c>
      <c r="B37" s="267">
        <f t="shared" ref="B37:O37" si="16">IF(ISERR(+B86/B167)," ",B86/B167)</f>
        <v>5.3516076038733144E-2</v>
      </c>
      <c r="C37" s="267">
        <f t="shared" si="16"/>
        <v>4.8594789026167665E-2</v>
      </c>
      <c r="D37" s="267">
        <f t="shared" si="16"/>
        <v>4.9187258182275949E-2</v>
      </c>
      <c r="E37" s="267">
        <f t="shared" si="16"/>
        <v>5.3615484575839208E-2</v>
      </c>
      <c r="F37" s="267">
        <f t="shared" si="16"/>
        <v>6.1597862983536152E-2</v>
      </c>
      <c r="G37" s="267">
        <f t="shared" si="16"/>
        <v>6.4836753551262671E-2</v>
      </c>
      <c r="H37" s="267">
        <f t="shared" si="16"/>
        <v>6.1467224727933166E-2</v>
      </c>
      <c r="I37" s="267">
        <f t="shared" si="16"/>
        <v>5.8453050083792465E-2</v>
      </c>
      <c r="J37" s="267">
        <f t="shared" si="16"/>
        <v>5.5741496248590788E-2</v>
      </c>
      <c r="K37" s="267">
        <f t="shared" si="16"/>
        <v>5.3288643756615725E-2</v>
      </c>
      <c r="L37" s="267">
        <f t="shared" si="16"/>
        <v>5.1058902547822797E-2</v>
      </c>
      <c r="M37" s="267">
        <f t="shared" si="16"/>
        <v>4.9022888723417771E-2</v>
      </c>
      <c r="N37" s="267">
        <f t="shared" si="16"/>
        <v>4.7156174296970624E-2</v>
      </c>
      <c r="O37" s="267">
        <f t="shared" si="16"/>
        <v>4.5438275635366641E-2</v>
      </c>
      <c r="P37" s="56"/>
      <c r="Q37" s="56"/>
    </row>
    <row r="38" spans="1:17" ht="2.25" customHeight="1" x14ac:dyDescent="0.2">
      <c r="A38" s="149"/>
      <c r="B38" s="150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56"/>
      <c r="Q38" s="56"/>
    </row>
    <row r="39" spans="1:17" ht="12.75" x14ac:dyDescent="0.2">
      <c r="A39" s="161" t="s">
        <v>133</v>
      </c>
      <c r="B39" s="162">
        <f t="shared" ref="B39:O39" si="17">SUM(B40:B41)</f>
        <v>0</v>
      </c>
      <c r="C39" s="162">
        <f t="shared" si="17"/>
        <v>0</v>
      </c>
      <c r="D39" s="162">
        <f t="shared" si="17"/>
        <v>0</v>
      </c>
      <c r="E39" s="162">
        <f t="shared" si="17"/>
        <v>0</v>
      </c>
      <c r="F39" s="162">
        <f t="shared" si="17"/>
        <v>0</v>
      </c>
      <c r="G39" s="162">
        <f t="shared" si="17"/>
        <v>0</v>
      </c>
      <c r="H39" s="162">
        <f t="shared" si="17"/>
        <v>0</v>
      </c>
      <c r="I39" s="162">
        <f t="shared" si="17"/>
        <v>0</v>
      </c>
      <c r="J39" s="162">
        <f t="shared" si="17"/>
        <v>0</v>
      </c>
      <c r="K39" s="162">
        <f t="shared" si="17"/>
        <v>0</v>
      </c>
      <c r="L39" s="162">
        <f t="shared" si="17"/>
        <v>0</v>
      </c>
      <c r="M39" s="162">
        <f t="shared" si="17"/>
        <v>0</v>
      </c>
      <c r="N39" s="162">
        <f t="shared" si="17"/>
        <v>0</v>
      </c>
      <c r="O39" s="162">
        <f t="shared" si="17"/>
        <v>0</v>
      </c>
      <c r="P39" s="56"/>
      <c r="Q39" s="56"/>
    </row>
    <row r="40" spans="1:17" ht="12.75" x14ac:dyDescent="0.2">
      <c r="A40" s="149" t="s">
        <v>134</v>
      </c>
      <c r="B40" s="154">
        <f t="shared" ref="B40:O40" si="18">B109</f>
        <v>0</v>
      </c>
      <c r="C40" s="154">
        <f t="shared" si="18"/>
        <v>0</v>
      </c>
      <c r="D40" s="154">
        <f t="shared" si="18"/>
        <v>0</v>
      </c>
      <c r="E40" s="154">
        <f t="shared" si="18"/>
        <v>0</v>
      </c>
      <c r="F40" s="154">
        <f t="shared" si="18"/>
        <v>0</v>
      </c>
      <c r="G40" s="154">
        <f t="shared" si="18"/>
        <v>0</v>
      </c>
      <c r="H40" s="154">
        <f t="shared" si="18"/>
        <v>0</v>
      </c>
      <c r="I40" s="154">
        <f t="shared" si="18"/>
        <v>0</v>
      </c>
      <c r="J40" s="154">
        <f t="shared" si="18"/>
        <v>0</v>
      </c>
      <c r="K40" s="154">
        <f t="shared" si="18"/>
        <v>0</v>
      </c>
      <c r="L40" s="154">
        <f t="shared" si="18"/>
        <v>0</v>
      </c>
      <c r="M40" s="154">
        <f t="shared" si="18"/>
        <v>0</v>
      </c>
      <c r="N40" s="154">
        <f t="shared" si="18"/>
        <v>0</v>
      </c>
      <c r="O40" s="154">
        <f t="shared" si="18"/>
        <v>0</v>
      </c>
      <c r="P40" s="56"/>
      <c r="Q40" s="56"/>
    </row>
    <row r="41" spans="1:17" ht="12.75" x14ac:dyDescent="0.2">
      <c r="A41" s="149" t="s">
        <v>135</v>
      </c>
      <c r="B41" s="154">
        <f t="shared" ref="B41:O41" si="19">B110</f>
        <v>0</v>
      </c>
      <c r="C41" s="154">
        <f t="shared" si="19"/>
        <v>0</v>
      </c>
      <c r="D41" s="154">
        <f t="shared" si="19"/>
        <v>0</v>
      </c>
      <c r="E41" s="154">
        <f t="shared" si="19"/>
        <v>0</v>
      </c>
      <c r="F41" s="154">
        <f t="shared" si="19"/>
        <v>0</v>
      </c>
      <c r="G41" s="154">
        <f t="shared" si="19"/>
        <v>0</v>
      </c>
      <c r="H41" s="154">
        <f t="shared" si="19"/>
        <v>0</v>
      </c>
      <c r="I41" s="154">
        <f t="shared" si="19"/>
        <v>0</v>
      </c>
      <c r="J41" s="154">
        <f t="shared" si="19"/>
        <v>0</v>
      </c>
      <c r="K41" s="154">
        <f t="shared" si="19"/>
        <v>0</v>
      </c>
      <c r="L41" s="154">
        <f t="shared" si="19"/>
        <v>0</v>
      </c>
      <c r="M41" s="154">
        <f t="shared" si="19"/>
        <v>0</v>
      </c>
      <c r="N41" s="154">
        <f t="shared" si="19"/>
        <v>0</v>
      </c>
      <c r="O41" s="154">
        <f t="shared" si="19"/>
        <v>0</v>
      </c>
      <c r="P41" s="56"/>
      <c r="Q41" s="56"/>
    </row>
    <row r="42" spans="1:17" ht="3" customHeight="1" x14ac:dyDescent="0.2">
      <c r="A42" s="145"/>
      <c r="B42" s="153"/>
      <c r="C42" s="153"/>
      <c r="D42" s="153"/>
      <c r="E42" s="153"/>
      <c r="F42" s="153"/>
      <c r="G42" s="153"/>
      <c r="H42" s="153"/>
      <c r="I42" s="153"/>
      <c r="J42" s="153"/>
      <c r="K42" s="153"/>
      <c r="L42" s="153"/>
      <c r="M42" s="153"/>
      <c r="N42" s="153"/>
      <c r="O42" s="153"/>
      <c r="P42" s="56"/>
      <c r="Q42" s="56"/>
    </row>
    <row r="43" spans="1:17" ht="12.75" x14ac:dyDescent="0.2">
      <c r="A43" s="161" t="s">
        <v>136</v>
      </c>
      <c r="B43" s="162">
        <f t="shared" ref="B43:O43" si="20">B39</f>
        <v>0</v>
      </c>
      <c r="C43" s="162">
        <f t="shared" si="20"/>
        <v>0</v>
      </c>
      <c r="D43" s="162">
        <f t="shared" si="20"/>
        <v>0</v>
      </c>
      <c r="E43" s="162">
        <f t="shared" si="20"/>
        <v>0</v>
      </c>
      <c r="F43" s="162">
        <f t="shared" si="20"/>
        <v>0</v>
      </c>
      <c r="G43" s="162">
        <f t="shared" si="20"/>
        <v>0</v>
      </c>
      <c r="H43" s="162">
        <f t="shared" si="20"/>
        <v>0</v>
      </c>
      <c r="I43" s="162">
        <f t="shared" si="20"/>
        <v>0</v>
      </c>
      <c r="J43" s="162">
        <f t="shared" si="20"/>
        <v>0</v>
      </c>
      <c r="K43" s="162">
        <f t="shared" si="20"/>
        <v>0</v>
      </c>
      <c r="L43" s="162">
        <f t="shared" si="20"/>
        <v>0</v>
      </c>
      <c r="M43" s="162">
        <f t="shared" si="20"/>
        <v>0</v>
      </c>
      <c r="N43" s="162">
        <f t="shared" si="20"/>
        <v>0</v>
      </c>
      <c r="O43" s="162">
        <f t="shared" si="20"/>
        <v>0</v>
      </c>
      <c r="P43" s="58"/>
      <c r="Q43" s="58"/>
    </row>
    <row r="44" spans="1:17" ht="12.75" x14ac:dyDescent="0.2">
      <c r="A44" s="268" t="str">
        <f t="shared" ref="A44:O44" si="21">A116</f>
        <v>Grants</v>
      </c>
      <c r="B44" s="238">
        <f t="shared" si="21"/>
        <v>0</v>
      </c>
      <c r="C44" s="238">
        <f t="shared" si="21"/>
        <v>0</v>
      </c>
      <c r="D44" s="238">
        <f t="shared" si="21"/>
        <v>0</v>
      </c>
      <c r="E44" s="238">
        <f t="shared" si="21"/>
        <v>0</v>
      </c>
      <c r="F44" s="238">
        <f t="shared" si="21"/>
        <v>0</v>
      </c>
      <c r="G44" s="238">
        <f t="shared" si="21"/>
        <v>0</v>
      </c>
      <c r="H44" s="238">
        <f t="shared" si="21"/>
        <v>0</v>
      </c>
      <c r="I44" s="238">
        <f t="shared" si="21"/>
        <v>0</v>
      </c>
      <c r="J44" s="238">
        <f t="shared" si="21"/>
        <v>0</v>
      </c>
      <c r="K44" s="238">
        <f t="shared" si="21"/>
        <v>0</v>
      </c>
      <c r="L44" s="238">
        <f t="shared" si="21"/>
        <v>0</v>
      </c>
      <c r="M44" s="238">
        <f t="shared" si="21"/>
        <v>0</v>
      </c>
      <c r="N44" s="238">
        <f t="shared" si="21"/>
        <v>0</v>
      </c>
      <c r="O44" s="238">
        <f t="shared" si="21"/>
        <v>0</v>
      </c>
      <c r="P44" s="58"/>
      <c r="Q44" s="58"/>
    </row>
    <row r="45" spans="1:17" ht="12.75" x14ac:dyDescent="0.2">
      <c r="A45" s="268" t="str">
        <f t="shared" ref="A45:O45" si="22">A117</f>
        <v>Loan1</v>
      </c>
      <c r="B45" s="238">
        <f t="shared" si="22"/>
        <v>0</v>
      </c>
      <c r="C45" s="238">
        <f t="shared" si="22"/>
        <v>0</v>
      </c>
      <c r="D45" s="238">
        <f t="shared" si="22"/>
        <v>0</v>
      </c>
      <c r="E45" s="238">
        <f t="shared" si="22"/>
        <v>0</v>
      </c>
      <c r="F45" s="238">
        <f t="shared" si="22"/>
        <v>0</v>
      </c>
      <c r="G45" s="238">
        <f t="shared" si="22"/>
        <v>0</v>
      </c>
      <c r="H45" s="238">
        <f t="shared" si="22"/>
        <v>0</v>
      </c>
      <c r="I45" s="238">
        <f t="shared" si="22"/>
        <v>0</v>
      </c>
      <c r="J45" s="238">
        <f t="shared" si="22"/>
        <v>0</v>
      </c>
      <c r="K45" s="238">
        <f t="shared" si="22"/>
        <v>0</v>
      </c>
      <c r="L45" s="238">
        <f t="shared" si="22"/>
        <v>0</v>
      </c>
      <c r="M45" s="238">
        <f t="shared" si="22"/>
        <v>0</v>
      </c>
      <c r="N45" s="238">
        <f t="shared" si="22"/>
        <v>0</v>
      </c>
      <c r="O45" s="238">
        <f t="shared" si="22"/>
        <v>0</v>
      </c>
      <c r="P45" s="58"/>
      <c r="Q45" s="58"/>
    </row>
    <row r="46" spans="1:17" ht="12.75" x14ac:dyDescent="0.2">
      <c r="A46" s="268" t="str">
        <f t="shared" ref="A46:O46" si="23">A118</f>
        <v>Loan2</v>
      </c>
      <c r="B46" s="238">
        <f t="shared" si="23"/>
        <v>0</v>
      </c>
      <c r="C46" s="238">
        <f t="shared" si="23"/>
        <v>0</v>
      </c>
      <c r="D46" s="238">
        <f t="shared" si="23"/>
        <v>0</v>
      </c>
      <c r="E46" s="238">
        <f t="shared" si="23"/>
        <v>0</v>
      </c>
      <c r="F46" s="238">
        <f t="shared" si="23"/>
        <v>0</v>
      </c>
      <c r="G46" s="238">
        <f t="shared" si="23"/>
        <v>0</v>
      </c>
      <c r="H46" s="238">
        <f t="shared" si="23"/>
        <v>0</v>
      </c>
      <c r="I46" s="238">
        <f t="shared" si="23"/>
        <v>0</v>
      </c>
      <c r="J46" s="238">
        <f t="shared" si="23"/>
        <v>0</v>
      </c>
      <c r="K46" s="238">
        <f t="shared" si="23"/>
        <v>0</v>
      </c>
      <c r="L46" s="238">
        <f t="shared" si="23"/>
        <v>0</v>
      </c>
      <c r="M46" s="238">
        <f t="shared" si="23"/>
        <v>0</v>
      </c>
      <c r="N46" s="238">
        <f t="shared" si="23"/>
        <v>0</v>
      </c>
      <c r="O46" s="238">
        <f t="shared" si="23"/>
        <v>0</v>
      </c>
      <c r="P46" s="58"/>
      <c r="Q46" s="58"/>
    </row>
    <row r="47" spans="1:17" ht="12.75" x14ac:dyDescent="0.2">
      <c r="A47" s="268" t="str">
        <f t="shared" ref="A47:O47" si="24">A119</f>
        <v>Loan3</v>
      </c>
      <c r="B47" s="238">
        <f t="shared" si="24"/>
        <v>0</v>
      </c>
      <c r="C47" s="238">
        <f t="shared" si="24"/>
        <v>0</v>
      </c>
      <c r="D47" s="238">
        <f t="shared" si="24"/>
        <v>0</v>
      </c>
      <c r="E47" s="238">
        <f t="shared" si="24"/>
        <v>0</v>
      </c>
      <c r="F47" s="238">
        <f t="shared" si="24"/>
        <v>0</v>
      </c>
      <c r="G47" s="238">
        <f t="shared" si="24"/>
        <v>0</v>
      </c>
      <c r="H47" s="238">
        <f t="shared" si="24"/>
        <v>0</v>
      </c>
      <c r="I47" s="238">
        <f t="shared" si="24"/>
        <v>0</v>
      </c>
      <c r="J47" s="238">
        <f t="shared" si="24"/>
        <v>0</v>
      </c>
      <c r="K47" s="238">
        <f t="shared" si="24"/>
        <v>0</v>
      </c>
      <c r="L47" s="238">
        <f t="shared" si="24"/>
        <v>0</v>
      </c>
      <c r="M47" s="238">
        <f t="shared" si="24"/>
        <v>0</v>
      </c>
      <c r="N47" s="238">
        <f t="shared" si="24"/>
        <v>0</v>
      </c>
      <c r="O47" s="238">
        <f t="shared" si="24"/>
        <v>0</v>
      </c>
      <c r="P47" s="58"/>
      <c r="Q47" s="58"/>
    </row>
    <row r="48" spans="1:17" ht="12.75" x14ac:dyDescent="0.2">
      <c r="A48" s="268" t="str">
        <f t="shared" ref="A48:O48" si="25">A120</f>
        <v>Outstanding Loans</v>
      </c>
      <c r="B48" s="238">
        <f t="shared" si="25"/>
        <v>0</v>
      </c>
      <c r="C48" s="238">
        <f t="shared" si="25"/>
        <v>0</v>
      </c>
      <c r="D48" s="238">
        <f t="shared" si="25"/>
        <v>0</v>
      </c>
      <c r="E48" s="238">
        <f t="shared" si="25"/>
        <v>0</v>
      </c>
      <c r="F48" s="238">
        <f t="shared" si="25"/>
        <v>0</v>
      </c>
      <c r="G48" s="238">
        <f t="shared" si="25"/>
        <v>0</v>
      </c>
      <c r="H48" s="238">
        <f t="shared" si="25"/>
        <v>0</v>
      </c>
      <c r="I48" s="238">
        <f t="shared" si="25"/>
        <v>0</v>
      </c>
      <c r="J48" s="238">
        <f t="shared" si="25"/>
        <v>0</v>
      </c>
      <c r="K48" s="238">
        <f t="shared" si="25"/>
        <v>0</v>
      </c>
      <c r="L48" s="238">
        <f t="shared" si="25"/>
        <v>0</v>
      </c>
      <c r="M48" s="238">
        <f t="shared" si="25"/>
        <v>0</v>
      </c>
      <c r="N48" s="238">
        <f t="shared" si="25"/>
        <v>0</v>
      </c>
      <c r="O48" s="238">
        <f t="shared" si="25"/>
        <v>0</v>
      </c>
      <c r="P48" s="58"/>
      <c r="Q48" s="58"/>
    </row>
    <row r="49" spans="1:17" ht="12.75" x14ac:dyDescent="0.2">
      <c r="A49" s="269" t="s">
        <v>137</v>
      </c>
      <c r="B49" s="162">
        <f>B43-B44-B45-B46-B48</f>
        <v>0</v>
      </c>
      <c r="C49" s="162">
        <f t="shared" ref="C49:O49" si="26">C43-C44-C45-C46-C48</f>
        <v>0</v>
      </c>
      <c r="D49" s="162">
        <f t="shared" si="26"/>
        <v>0</v>
      </c>
      <c r="E49" s="162">
        <f t="shared" si="26"/>
        <v>0</v>
      </c>
      <c r="F49" s="162">
        <f t="shared" si="26"/>
        <v>0</v>
      </c>
      <c r="G49" s="162">
        <f t="shared" si="26"/>
        <v>0</v>
      </c>
      <c r="H49" s="162">
        <f t="shared" si="26"/>
        <v>0</v>
      </c>
      <c r="I49" s="162">
        <f t="shared" si="26"/>
        <v>0</v>
      </c>
      <c r="J49" s="162">
        <f t="shared" si="26"/>
        <v>0</v>
      </c>
      <c r="K49" s="162">
        <f t="shared" si="26"/>
        <v>0</v>
      </c>
      <c r="L49" s="162">
        <f t="shared" si="26"/>
        <v>0</v>
      </c>
      <c r="M49" s="162">
        <f t="shared" si="26"/>
        <v>0</v>
      </c>
      <c r="N49" s="162">
        <f t="shared" si="26"/>
        <v>0</v>
      </c>
      <c r="O49" s="162">
        <f t="shared" si="26"/>
        <v>0</v>
      </c>
      <c r="P49" s="58"/>
      <c r="Q49" s="58"/>
    </row>
    <row r="50" spans="1:17" ht="12.75" x14ac:dyDescent="0.2">
      <c r="A50" s="268"/>
      <c r="B50" s="238"/>
      <c r="C50" s="238"/>
      <c r="D50" s="238"/>
      <c r="E50" s="238"/>
      <c r="F50" s="238"/>
      <c r="G50" s="238"/>
      <c r="H50" s="238"/>
      <c r="I50" s="238"/>
      <c r="J50" s="238"/>
      <c r="K50" s="238"/>
      <c r="L50" s="238"/>
      <c r="M50" s="238"/>
      <c r="N50" s="238"/>
      <c r="O50" s="238"/>
      <c r="P50" s="58"/>
      <c r="Q50" s="58"/>
    </row>
    <row r="51" spans="1:17" ht="20.25" x14ac:dyDescent="0.3">
      <c r="A51" s="74" t="str">
        <f>Assumptions!B3</f>
        <v>simulation water company</v>
      </c>
      <c r="B51" s="55"/>
      <c r="C51" s="55"/>
      <c r="D51" s="143"/>
      <c r="E51" s="144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56"/>
      <c r="Q51" s="56"/>
    </row>
    <row r="52" spans="1:17" ht="6" customHeight="1" x14ac:dyDescent="0.2">
      <c r="A52" s="145"/>
      <c r="B52" s="145"/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56"/>
      <c r="Q52" s="56"/>
    </row>
    <row r="53" spans="1:17" ht="18" x14ac:dyDescent="0.25">
      <c r="A53" s="59" t="s">
        <v>138</v>
      </c>
      <c r="B53" s="185"/>
      <c r="C53" s="163"/>
      <c r="D53" s="163"/>
      <c r="E53" s="144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56"/>
      <c r="Q53" s="56"/>
    </row>
    <row r="54" spans="1:17" ht="12.75" x14ac:dyDescent="0.2">
      <c r="A54" s="153" t="str">
        <f>+A4</f>
        <v>Million FMs</v>
      </c>
      <c r="B54" s="145"/>
      <c r="C54" s="145"/>
      <c r="D54" s="145"/>
      <c r="E54" s="146"/>
      <c r="F54" s="153"/>
      <c r="G54" s="147"/>
      <c r="H54" s="153"/>
      <c r="I54" s="153"/>
      <c r="J54" s="153"/>
      <c r="K54" s="146" t="str">
        <f>Assumptions!B9</f>
        <v>15,000 FMs = 1US$</v>
      </c>
      <c r="L54" s="451"/>
      <c r="M54" s="153"/>
      <c r="N54" s="153"/>
      <c r="O54" s="153"/>
      <c r="P54" s="56"/>
      <c r="Q54" s="56"/>
    </row>
    <row r="55" spans="1:17" ht="12.75" x14ac:dyDescent="0.2">
      <c r="A55" s="79"/>
      <c r="B55" s="76">
        <f>Assumptions!B4+1</f>
        <v>2018</v>
      </c>
      <c r="C55" s="76">
        <f>B55+1</f>
        <v>2019</v>
      </c>
      <c r="D55" s="76">
        <f t="shared" ref="D55:O55" si="27">C55+1</f>
        <v>2020</v>
      </c>
      <c r="E55" s="76">
        <f t="shared" si="27"/>
        <v>2021</v>
      </c>
      <c r="F55" s="76">
        <f t="shared" si="27"/>
        <v>2022</v>
      </c>
      <c r="G55" s="76">
        <f t="shared" si="27"/>
        <v>2023</v>
      </c>
      <c r="H55" s="76">
        <f t="shared" si="27"/>
        <v>2024</v>
      </c>
      <c r="I55" s="76">
        <f t="shared" si="27"/>
        <v>2025</v>
      </c>
      <c r="J55" s="76">
        <f t="shared" si="27"/>
        <v>2026</v>
      </c>
      <c r="K55" s="76">
        <f t="shared" si="27"/>
        <v>2027</v>
      </c>
      <c r="L55" s="76">
        <f t="shared" si="27"/>
        <v>2028</v>
      </c>
      <c r="M55" s="76">
        <f t="shared" si="27"/>
        <v>2029</v>
      </c>
      <c r="N55" s="76">
        <f t="shared" si="27"/>
        <v>2030</v>
      </c>
      <c r="O55" s="76">
        <f t="shared" si="27"/>
        <v>2031</v>
      </c>
      <c r="P55" s="56"/>
      <c r="Q55" s="56"/>
    </row>
    <row r="56" spans="1:17" ht="6.75" customHeight="1" x14ac:dyDescent="0.2">
      <c r="A56" s="153"/>
      <c r="B56" s="153"/>
      <c r="C56" s="153"/>
      <c r="D56" s="153"/>
      <c r="E56" s="153"/>
      <c r="F56" s="153"/>
      <c r="G56" s="153"/>
      <c r="H56" s="153"/>
      <c r="I56" s="153"/>
      <c r="J56" s="153"/>
      <c r="K56" s="153"/>
      <c r="L56" s="153"/>
      <c r="M56" s="153"/>
      <c r="N56" s="153"/>
      <c r="O56" s="153"/>
      <c r="P56" s="56"/>
      <c r="Q56" s="56"/>
    </row>
    <row r="57" spans="1:17" ht="15.75" x14ac:dyDescent="0.25">
      <c r="A57" s="164" t="s">
        <v>139</v>
      </c>
      <c r="B57" s="154"/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4"/>
      <c r="N57" s="154"/>
      <c r="O57" s="154"/>
      <c r="P57" s="56"/>
      <c r="Q57" s="56"/>
    </row>
    <row r="58" spans="1:17" ht="12.75" x14ac:dyDescent="0.2">
      <c r="A58" s="165" t="s">
        <v>140</v>
      </c>
      <c r="B58" s="469">
        <f>'Connections &amp; Opex'!B24</f>
        <v>2462.3812499999995</v>
      </c>
      <c r="C58" s="469">
        <f>'Connections &amp; Opex'!C24</f>
        <v>2462.3812499999995</v>
      </c>
      <c r="D58" s="469">
        <f>'Connections &amp; Opex'!D24</f>
        <v>2462.3812499999995</v>
      </c>
      <c r="E58" s="469">
        <f>'Connections &amp; Opex'!E24</f>
        <v>2462.3812499999995</v>
      </c>
      <c r="F58" s="469">
        <f>'Connections &amp; Opex'!F24</f>
        <v>2462.3812499999995</v>
      </c>
      <c r="G58" s="469">
        <f>'Connections &amp; Opex'!G24</f>
        <v>2462.3812499999995</v>
      </c>
      <c r="H58" s="469">
        <f>'Connections &amp; Opex'!H24</f>
        <v>2462.3812499999995</v>
      </c>
      <c r="I58" s="469">
        <f>'Connections &amp; Opex'!I24</f>
        <v>2462.3812499999995</v>
      </c>
      <c r="J58" s="469">
        <f>'Connections &amp; Opex'!J24</f>
        <v>2462.3812499999995</v>
      </c>
      <c r="K58" s="469">
        <f>'Connections &amp; Opex'!K24</f>
        <v>2462.3812499999995</v>
      </c>
      <c r="L58" s="469">
        <f>'Connections &amp; Opex'!L24</f>
        <v>2462.3812499999995</v>
      </c>
      <c r="M58" s="469">
        <f>'Connections &amp; Opex'!M24</f>
        <v>2462.3812499999995</v>
      </c>
      <c r="N58" s="469">
        <f>'Connections &amp; Opex'!N24</f>
        <v>2462.3812499999995</v>
      </c>
      <c r="O58" s="469">
        <f>'Connections &amp; Opex'!O24</f>
        <v>2462.3812499999995</v>
      </c>
      <c r="P58" s="56"/>
      <c r="Q58" s="56"/>
    </row>
    <row r="59" spans="1:17" ht="12.75" x14ac:dyDescent="0.2">
      <c r="A59" s="239" t="s">
        <v>284</v>
      </c>
      <c r="B59" s="257">
        <f>+B58*Assumptions!$B$29</f>
        <v>123.11906249999998</v>
      </c>
      <c r="C59" s="257">
        <f>+C58*Assumptions!$B$29</f>
        <v>123.11906249999998</v>
      </c>
      <c r="D59" s="257">
        <f>+D58*Assumptions!$B$29</f>
        <v>123.11906249999998</v>
      </c>
      <c r="E59" s="257">
        <f>+E58*Assumptions!$B$29</f>
        <v>123.11906249999998</v>
      </c>
      <c r="F59" s="257">
        <f>+F58*Assumptions!$B$29</f>
        <v>123.11906249999998</v>
      </c>
      <c r="G59" s="257">
        <f>+G58*Assumptions!$B$29</f>
        <v>123.11906249999998</v>
      </c>
      <c r="H59" s="257">
        <f>+H58*Assumptions!$B$29</f>
        <v>123.11906249999998</v>
      </c>
      <c r="I59" s="257">
        <f>+I58*Assumptions!$B$29</f>
        <v>123.11906249999998</v>
      </c>
      <c r="J59" s="257">
        <f>+J58*Assumptions!$B$29</f>
        <v>123.11906249999998</v>
      </c>
      <c r="K59" s="257">
        <f>+K58*Assumptions!$B$29</f>
        <v>123.11906249999998</v>
      </c>
      <c r="L59" s="257">
        <f>+L58*Assumptions!$B$29</f>
        <v>123.11906249999998</v>
      </c>
      <c r="M59" s="257">
        <f>+M58*Assumptions!$B$29</f>
        <v>123.11906249999998</v>
      </c>
      <c r="N59" s="257">
        <f>+N58*Assumptions!$B$29</f>
        <v>123.11906249999998</v>
      </c>
      <c r="O59" s="257">
        <f>+O58*Assumptions!$B$29</f>
        <v>123.11906249999998</v>
      </c>
      <c r="P59" s="56"/>
      <c r="Q59" s="56"/>
    </row>
    <row r="60" spans="1:17" ht="12.75" x14ac:dyDescent="0.2">
      <c r="A60" s="165" t="s">
        <v>141</v>
      </c>
      <c r="B60" s="154">
        <f>'Connections &amp; Opex'!$B$9*'Connections &amp; Opex'!B12*'Connections &amp; Opex'!B14</f>
        <v>0</v>
      </c>
      <c r="C60" s="154">
        <f>'Connections &amp; Opex'!$B$9*'Connections &amp; Opex'!C12*'Connections &amp; Opex'!C14</f>
        <v>0</v>
      </c>
      <c r="D60" s="154">
        <f>'Connections &amp; Opex'!$B$9*'Connections &amp; Opex'!D12*'Connections &amp; Opex'!D14</f>
        <v>0</v>
      </c>
      <c r="E60" s="154">
        <f>'Connections &amp; Opex'!$B$9*'Connections &amp; Opex'!E12*'Connections &amp; Opex'!E14</f>
        <v>0</v>
      </c>
      <c r="F60" s="154">
        <f>'Connections &amp; Opex'!$B$9*'Connections &amp; Opex'!F12*'Connections &amp; Opex'!F14</f>
        <v>0</v>
      </c>
      <c r="G60" s="154">
        <f>'Connections &amp; Opex'!$B$9*'Connections &amp; Opex'!G12*'Connections &amp; Opex'!G14</f>
        <v>0</v>
      </c>
      <c r="H60" s="154">
        <f>'Connections &amp; Opex'!$B$9*'Connections &amp; Opex'!H12*'Connections &amp; Opex'!H14</f>
        <v>0</v>
      </c>
      <c r="I60" s="154">
        <f>'Connections &amp; Opex'!$B$9*'Connections &amp; Opex'!I12*'Connections &amp; Opex'!I14</f>
        <v>0</v>
      </c>
      <c r="J60" s="154">
        <f>'Connections &amp; Opex'!$B$9*'Connections &amp; Opex'!J12*'Connections &amp; Opex'!J14</f>
        <v>0</v>
      </c>
      <c r="K60" s="154">
        <f>'Connections &amp; Opex'!$B$9*'Connections &amp; Opex'!K12*'Connections &amp; Opex'!K14</f>
        <v>0</v>
      </c>
      <c r="L60" s="154">
        <f>'Connections &amp; Opex'!$B$9*'Connections &amp; Opex'!L12*'Connections &amp; Opex'!L14</f>
        <v>0</v>
      </c>
      <c r="M60" s="154">
        <f>'Connections &amp; Opex'!$B$9*'Connections &amp; Opex'!M12*'Connections &amp; Opex'!M14</f>
        <v>0</v>
      </c>
      <c r="N60" s="154">
        <f>'Connections &amp; Opex'!$B$9*'Connections &amp; Opex'!N12*'Connections &amp; Opex'!N14</f>
        <v>0</v>
      </c>
      <c r="O60" s="154">
        <f>'Connections &amp; Opex'!$B$9*'Connections &amp; Opex'!O12*'Connections &amp; Opex'!O14</f>
        <v>0</v>
      </c>
      <c r="P60" s="56"/>
      <c r="Q60" s="56"/>
    </row>
    <row r="61" spans="1:17" ht="12.75" x14ac:dyDescent="0.2">
      <c r="A61" s="165" t="s">
        <v>142</v>
      </c>
      <c r="B61" s="154">
        <f>Assumptions!B19*(B270)</f>
        <v>0</v>
      </c>
      <c r="C61" s="154">
        <f>Assumptions!C19*(C270)</f>
        <v>0</v>
      </c>
      <c r="D61" s="154">
        <f>Assumptions!D19*(D270)</f>
        <v>0</v>
      </c>
      <c r="E61" s="154">
        <f>Assumptions!E19*(E270)</f>
        <v>0</v>
      </c>
      <c r="F61" s="154">
        <f>Assumptions!$F$19*(F270)</f>
        <v>0</v>
      </c>
      <c r="G61" s="154">
        <f>Assumptions!$F$19*(G270)</f>
        <v>0</v>
      </c>
      <c r="H61" s="154">
        <f>Assumptions!$F$19*(H270)</f>
        <v>0</v>
      </c>
      <c r="I61" s="154">
        <f>Assumptions!$F$19*(I270)</f>
        <v>0</v>
      </c>
      <c r="J61" s="154">
        <f>Assumptions!$F$19*(J270)</f>
        <v>0</v>
      </c>
      <c r="K61" s="154">
        <f>Assumptions!$F$19*(K270)</f>
        <v>0</v>
      </c>
      <c r="L61" s="154">
        <f>Assumptions!$F$19*(L270)</f>
        <v>0</v>
      </c>
      <c r="M61" s="154">
        <f>Assumptions!$F$19*(M270)</f>
        <v>0</v>
      </c>
      <c r="N61" s="154">
        <f>Assumptions!$F$19*(N270)</f>
        <v>0</v>
      </c>
      <c r="O61" s="154">
        <f>Assumptions!$F$19*(O270)</f>
        <v>0</v>
      </c>
      <c r="P61" s="56"/>
      <c r="Q61" s="56"/>
    </row>
    <row r="62" spans="1:17" ht="12.75" x14ac:dyDescent="0.2">
      <c r="A62" s="166" t="s">
        <v>143</v>
      </c>
      <c r="B62" s="162">
        <f>B58*(1-Assumptions!B23)*Assumptions!B24</f>
        <v>0</v>
      </c>
      <c r="C62" s="162">
        <f>C58*(1-Assumptions!C23)*Assumptions!C24</f>
        <v>0</v>
      </c>
      <c r="D62" s="162">
        <f>D58*(1-Assumptions!D23)*Assumptions!D24</f>
        <v>0</v>
      </c>
      <c r="E62" s="162">
        <f>E58*(1-Assumptions!E23)*Assumptions!E24</f>
        <v>0</v>
      </c>
      <c r="F62" s="162">
        <f>F58*(1-Assumptions!$F$23)*Assumptions!$F$24</f>
        <v>0</v>
      </c>
      <c r="G62" s="162">
        <f>G58*(1-Assumptions!$F$23)*Assumptions!$F$24</f>
        <v>0</v>
      </c>
      <c r="H62" s="162">
        <f>H58*(1-Assumptions!$F$23)*Assumptions!$F$24</f>
        <v>0</v>
      </c>
      <c r="I62" s="162">
        <f>I58*(1-Assumptions!$F$23)*Assumptions!$F$24</f>
        <v>0</v>
      </c>
      <c r="J62" s="162">
        <f>J58*(1-Assumptions!$F$23)*Assumptions!$F$24</f>
        <v>0</v>
      </c>
      <c r="K62" s="162">
        <f>K58*(1-Assumptions!$F$23)*Assumptions!$F$24</f>
        <v>0</v>
      </c>
      <c r="L62" s="162">
        <f>L58*(1-Assumptions!$F$23)*Assumptions!$F$24</f>
        <v>0</v>
      </c>
      <c r="M62" s="162">
        <f>M58*(1-Assumptions!$F$23)*Assumptions!$F$24</f>
        <v>0</v>
      </c>
      <c r="N62" s="162">
        <f>N58*(1-Assumptions!$F$23)*Assumptions!$F$24</f>
        <v>0</v>
      </c>
      <c r="O62" s="162">
        <f>O58*(1-Assumptions!$F$23)*Assumptions!$F$24</f>
        <v>0</v>
      </c>
      <c r="P62" s="56"/>
      <c r="Q62" s="56"/>
    </row>
    <row r="63" spans="1:17" ht="12.75" x14ac:dyDescent="0.2">
      <c r="A63" s="167" t="s">
        <v>144</v>
      </c>
      <c r="B63" s="154">
        <f t="shared" ref="B63:O63" si="28">+B58-B59+B62+B61+B60</f>
        <v>2339.2621874999995</v>
      </c>
      <c r="C63" s="154">
        <f t="shared" si="28"/>
        <v>2339.2621874999995</v>
      </c>
      <c r="D63" s="154">
        <f t="shared" si="28"/>
        <v>2339.2621874999995</v>
      </c>
      <c r="E63" s="154">
        <f t="shared" si="28"/>
        <v>2339.2621874999995</v>
      </c>
      <c r="F63" s="154">
        <f t="shared" si="28"/>
        <v>2339.2621874999995</v>
      </c>
      <c r="G63" s="154">
        <f t="shared" si="28"/>
        <v>2339.2621874999995</v>
      </c>
      <c r="H63" s="154">
        <f t="shared" si="28"/>
        <v>2339.2621874999995</v>
      </c>
      <c r="I63" s="154">
        <f t="shared" si="28"/>
        <v>2339.2621874999995</v>
      </c>
      <c r="J63" s="154">
        <f t="shared" si="28"/>
        <v>2339.2621874999995</v>
      </c>
      <c r="K63" s="154">
        <f t="shared" si="28"/>
        <v>2339.2621874999995</v>
      </c>
      <c r="L63" s="154">
        <f t="shared" si="28"/>
        <v>2339.2621874999995</v>
      </c>
      <c r="M63" s="154">
        <f t="shared" si="28"/>
        <v>2339.2621874999995</v>
      </c>
      <c r="N63" s="154">
        <f t="shared" si="28"/>
        <v>2339.2621874999995</v>
      </c>
      <c r="O63" s="154">
        <f t="shared" si="28"/>
        <v>2339.2621874999995</v>
      </c>
      <c r="P63" s="56"/>
      <c r="Q63" s="56"/>
    </row>
    <row r="64" spans="1:17" ht="6" customHeight="1" x14ac:dyDescent="0.2">
      <c r="A64" s="145"/>
      <c r="B64" s="154"/>
      <c r="C64" s="154"/>
      <c r="D64" s="154"/>
      <c r="E64" s="154"/>
      <c r="F64" s="154"/>
      <c r="G64" s="154"/>
      <c r="H64" s="154"/>
      <c r="I64" s="154"/>
      <c r="J64" s="154"/>
      <c r="K64" s="154"/>
      <c r="L64" s="154"/>
      <c r="M64" s="154"/>
      <c r="N64" s="154"/>
      <c r="O64" s="154"/>
      <c r="P64" s="56"/>
      <c r="Q64" s="56"/>
    </row>
    <row r="65" spans="1:17" ht="12.75" x14ac:dyDescent="0.2">
      <c r="A65" s="168" t="s">
        <v>145</v>
      </c>
      <c r="B65" s="154"/>
      <c r="C65" s="154"/>
      <c r="D65" s="154"/>
      <c r="E65" s="154"/>
      <c r="F65" s="154"/>
      <c r="G65" s="154"/>
      <c r="H65" s="154"/>
      <c r="I65" s="154"/>
      <c r="J65" s="154"/>
      <c r="K65" s="154"/>
      <c r="L65" s="154"/>
      <c r="M65" s="154"/>
      <c r="N65" s="154"/>
      <c r="O65" s="154"/>
      <c r="P65" s="56"/>
      <c r="Q65" s="56"/>
    </row>
    <row r="66" spans="1:17" ht="12.75" x14ac:dyDescent="0.2">
      <c r="A66" s="168" t="s">
        <v>146</v>
      </c>
      <c r="B66" s="154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56"/>
      <c r="Q66" s="56"/>
    </row>
    <row r="67" spans="1:17" ht="12.75" x14ac:dyDescent="0.2">
      <c r="A67" s="153" t="str">
        <f>'Connections &amp; Opex'!A33</f>
        <v>Chemical Treatment</v>
      </c>
      <c r="B67" s="154">
        <f>'Connections &amp; Opex'!B35*Assumptions!B13</f>
        <v>9.2920047169811291</v>
      </c>
      <c r="C67" s="154">
        <f>'Connections &amp; Opex'!C35*Assumptions!C13</f>
        <v>9.2920047169811291</v>
      </c>
      <c r="D67" s="154">
        <f>'Connections &amp; Opex'!D35*Assumptions!D13</f>
        <v>9.2920047169811291</v>
      </c>
      <c r="E67" s="154">
        <f>'Connections &amp; Opex'!E35*Assumptions!E13</f>
        <v>9.2920047169811291</v>
      </c>
      <c r="F67" s="154">
        <f>'Connections &amp; Opex'!F35*Assumptions!F13</f>
        <v>9.2920047169811291</v>
      </c>
      <c r="G67" s="154">
        <f>'Connections &amp; Opex'!G35*Assumptions!G13</f>
        <v>9.2920047169811291</v>
      </c>
      <c r="H67" s="154">
        <f>'Connections &amp; Opex'!H35*Assumptions!H13</f>
        <v>9.2920047169811291</v>
      </c>
      <c r="I67" s="154">
        <f>'Connections &amp; Opex'!I35*Assumptions!I13</f>
        <v>9.2920047169811291</v>
      </c>
      <c r="J67" s="154">
        <f>'Connections &amp; Opex'!J35*Assumptions!J13</f>
        <v>9.2920047169811291</v>
      </c>
      <c r="K67" s="154">
        <f>'Connections &amp; Opex'!K35*Assumptions!K13</f>
        <v>9.2920047169811291</v>
      </c>
      <c r="L67" s="154">
        <f>'Connections &amp; Opex'!L35*Assumptions!L13</f>
        <v>9.2920047169811291</v>
      </c>
      <c r="M67" s="154">
        <f>'Connections &amp; Opex'!M35*Assumptions!M13</f>
        <v>9.2920047169811291</v>
      </c>
      <c r="N67" s="154">
        <f>'Connections &amp; Opex'!N35*Assumptions!N13</f>
        <v>9.2920047169811291</v>
      </c>
      <c r="O67" s="154">
        <f>'Connections &amp; Opex'!O35*Assumptions!O13</f>
        <v>9.2920047169811291</v>
      </c>
      <c r="P67" s="56"/>
      <c r="Q67" s="56"/>
    </row>
    <row r="68" spans="1:17" ht="12.75" x14ac:dyDescent="0.2">
      <c r="A68" s="153" t="str">
        <f>'Connections &amp; Opex'!A29</f>
        <v>Power Costs</v>
      </c>
      <c r="B68" s="154">
        <f>'Connections &amp; Opex'!B31*Assumptions!B13</f>
        <v>356.19351415094326</v>
      </c>
      <c r="C68" s="154">
        <f>'Connections &amp; Opex'!C31*Assumptions!C13</f>
        <v>356.19351415094326</v>
      </c>
      <c r="D68" s="154">
        <f>'Connections &amp; Opex'!D31*Assumptions!D13</f>
        <v>356.19351415094326</v>
      </c>
      <c r="E68" s="154">
        <f>'Connections &amp; Opex'!E31*Assumptions!E13</f>
        <v>356.19351415094326</v>
      </c>
      <c r="F68" s="154">
        <f>'Connections &amp; Opex'!F31*Assumptions!F13</f>
        <v>356.19351415094326</v>
      </c>
      <c r="G68" s="154">
        <f>'Connections &amp; Opex'!G31*Assumptions!G13</f>
        <v>356.19351415094326</v>
      </c>
      <c r="H68" s="154">
        <f>'Connections &amp; Opex'!H31*Assumptions!H13</f>
        <v>356.19351415094326</v>
      </c>
      <c r="I68" s="154">
        <f>'Connections &amp; Opex'!I31*Assumptions!I13</f>
        <v>356.19351415094326</v>
      </c>
      <c r="J68" s="154">
        <f>'Connections &amp; Opex'!J31*Assumptions!J13</f>
        <v>356.19351415094326</v>
      </c>
      <c r="K68" s="154">
        <f>'Connections &amp; Opex'!K31*Assumptions!K13</f>
        <v>356.19351415094326</v>
      </c>
      <c r="L68" s="154">
        <f>'Connections &amp; Opex'!L31*Assumptions!L13</f>
        <v>356.19351415094326</v>
      </c>
      <c r="M68" s="154">
        <f>'Connections &amp; Opex'!M31*Assumptions!M13</f>
        <v>356.19351415094326</v>
      </c>
      <c r="N68" s="154">
        <f>'Connections &amp; Opex'!N31*Assumptions!N13</f>
        <v>356.19351415094326</v>
      </c>
      <c r="O68" s="154">
        <f>'Connections &amp; Opex'!O31*Assumptions!O13</f>
        <v>356.19351415094326</v>
      </c>
      <c r="P68" s="56"/>
      <c r="Q68" s="56"/>
    </row>
    <row r="69" spans="1:17" ht="12.75" x14ac:dyDescent="0.2">
      <c r="A69" s="153" t="str">
        <f>'Connections &amp; Opex'!A43</f>
        <v>Transportation &amp; Equipment</v>
      </c>
      <c r="B69" s="154">
        <f>'Connections &amp; Opex'!B46*Assumptions!B13</f>
        <v>115</v>
      </c>
      <c r="C69" s="154">
        <f>'Connections &amp; Opex'!C46*Assumptions!C13</f>
        <v>115</v>
      </c>
      <c r="D69" s="154">
        <f>'Connections &amp; Opex'!D46*Assumptions!D13</f>
        <v>115</v>
      </c>
      <c r="E69" s="154">
        <f>'Connections &amp; Opex'!E46*Assumptions!E13</f>
        <v>115</v>
      </c>
      <c r="F69" s="154">
        <f>'Connections &amp; Opex'!F46*Assumptions!F13</f>
        <v>115</v>
      </c>
      <c r="G69" s="154">
        <f>'Connections &amp; Opex'!G46*Assumptions!G13</f>
        <v>115</v>
      </c>
      <c r="H69" s="154">
        <f>'Connections &amp; Opex'!H46*Assumptions!H13</f>
        <v>115</v>
      </c>
      <c r="I69" s="154">
        <f>'Connections &amp; Opex'!I46*Assumptions!I13</f>
        <v>115</v>
      </c>
      <c r="J69" s="154">
        <f>'Connections &amp; Opex'!J46*Assumptions!J13</f>
        <v>115</v>
      </c>
      <c r="K69" s="154">
        <f>'Connections &amp; Opex'!K46*Assumptions!K13</f>
        <v>115</v>
      </c>
      <c r="L69" s="154">
        <f>'Connections &amp; Opex'!L46*Assumptions!L13</f>
        <v>115</v>
      </c>
      <c r="M69" s="154">
        <f>'Connections &amp; Opex'!M46*Assumptions!M13</f>
        <v>115</v>
      </c>
      <c r="N69" s="154">
        <f>'Connections &amp; Opex'!N46*Assumptions!N13</f>
        <v>115</v>
      </c>
      <c r="O69" s="154">
        <f>'Connections &amp; Opex'!O46*Assumptions!O13</f>
        <v>115</v>
      </c>
      <c r="P69" s="56"/>
      <c r="Q69" s="56"/>
    </row>
    <row r="70" spans="1:17" ht="12.75" x14ac:dyDescent="0.2">
      <c r="A70" s="153" t="str">
        <f>'Connections &amp; Opex'!A48</f>
        <v>Repairs &amp; Maintenance</v>
      </c>
      <c r="B70" s="154">
        <f>'Connections &amp; Opex'!B51*Assumptions!B13</f>
        <v>175.63</v>
      </c>
      <c r="C70" s="154">
        <f>'Connections &amp; Opex'!C51*Assumptions!C13</f>
        <v>169.26</v>
      </c>
      <c r="D70" s="154">
        <f>'Connections &amp; Opex'!D51*Assumptions!D13</f>
        <v>162.89000000000001</v>
      </c>
      <c r="E70" s="154">
        <f>'Connections &amp; Opex'!E51*Assumptions!E13</f>
        <v>156.52000000000001</v>
      </c>
      <c r="F70" s="154">
        <f>'Connections &amp; Opex'!F51*Assumptions!F13</f>
        <v>150.15</v>
      </c>
      <c r="G70" s="154">
        <f>'Connections &amp; Opex'!G51*Assumptions!G13</f>
        <v>143.78</v>
      </c>
      <c r="H70" s="154">
        <f>'Connections &amp; Opex'!H51*Assumptions!H13</f>
        <v>137.41</v>
      </c>
      <c r="I70" s="154">
        <f>'Connections &amp; Opex'!I51*Assumptions!I13</f>
        <v>131.04</v>
      </c>
      <c r="J70" s="154">
        <f>'Connections &amp; Opex'!J51*Assumptions!J13</f>
        <v>124.67</v>
      </c>
      <c r="K70" s="154">
        <f>'Connections &amp; Opex'!K51*Assumptions!K13</f>
        <v>118.3</v>
      </c>
      <c r="L70" s="154">
        <f>'Connections &amp; Opex'!L51*Assumptions!L13</f>
        <v>111.93</v>
      </c>
      <c r="M70" s="154">
        <f>'Connections &amp; Opex'!M51*Assumptions!M13</f>
        <v>105.56</v>
      </c>
      <c r="N70" s="154">
        <f>'Connections &amp; Opex'!N51*Assumptions!N13</f>
        <v>99.189999999999984</v>
      </c>
      <c r="O70" s="154">
        <f>'Connections &amp; Opex'!O51*Assumptions!O13</f>
        <v>92.819999999999979</v>
      </c>
      <c r="P70" s="56"/>
      <c r="Q70" s="56"/>
    </row>
    <row r="71" spans="1:17" ht="12.75" x14ac:dyDescent="0.2">
      <c r="A71" s="153" t="str">
        <f>'Connections &amp; Opex'!A37</f>
        <v>Labor Costs</v>
      </c>
      <c r="B71" s="154">
        <f>'Connections &amp; Opex'!B41*Assumptions!B13</f>
        <v>248.1396</v>
      </c>
      <c r="C71" s="154">
        <f>'Connections &amp; Opex'!C41*Assumptions!C13</f>
        <v>248.1396</v>
      </c>
      <c r="D71" s="154">
        <f>'Connections &amp; Opex'!D41*Assumptions!D13</f>
        <v>248.1396</v>
      </c>
      <c r="E71" s="154">
        <f>'Connections &amp; Opex'!E41*Assumptions!E13</f>
        <v>248.1396</v>
      </c>
      <c r="F71" s="154">
        <f>'Connections &amp; Opex'!F41*Assumptions!F13</f>
        <v>248.1396</v>
      </c>
      <c r="G71" s="154">
        <f>'Connections &amp; Opex'!G41*Assumptions!G13</f>
        <v>248.1396</v>
      </c>
      <c r="H71" s="154">
        <f>'Connections &amp; Opex'!H41*Assumptions!H13</f>
        <v>248.1396</v>
      </c>
      <c r="I71" s="154">
        <f>'Connections &amp; Opex'!I41*Assumptions!I13</f>
        <v>248.1396</v>
      </c>
      <c r="J71" s="154">
        <f>'Connections &amp; Opex'!J41*Assumptions!J13</f>
        <v>248.1396</v>
      </c>
      <c r="K71" s="154">
        <f>'Connections &amp; Opex'!K41*Assumptions!K13</f>
        <v>248.1396</v>
      </c>
      <c r="L71" s="154">
        <f>'Connections &amp; Opex'!L41*Assumptions!L13</f>
        <v>248.1396</v>
      </c>
      <c r="M71" s="154">
        <f>'Connections &amp; Opex'!M41*Assumptions!M13</f>
        <v>248.1396</v>
      </c>
      <c r="N71" s="154">
        <f>'Connections &amp; Opex'!N41*Assumptions!N13</f>
        <v>248.1396</v>
      </c>
      <c r="O71" s="154">
        <f>'Connections &amp; Opex'!O41*Assumptions!O13</f>
        <v>248.1396</v>
      </c>
      <c r="P71" s="56"/>
      <c r="Q71" s="56"/>
    </row>
    <row r="72" spans="1:17" ht="12.75" x14ac:dyDescent="0.2">
      <c r="A72" s="153" t="str">
        <f>'Connections &amp; Opex'!A53</f>
        <v xml:space="preserve">General &amp; Administrative </v>
      </c>
      <c r="B72" s="154">
        <f>'Connections &amp; Opex'!B55*Assumptions!B13</f>
        <v>197.31377971698109</v>
      </c>
      <c r="C72" s="154">
        <f>'Connections &amp; Opex'!C55*Assumptions!C13</f>
        <v>195.72127971698109</v>
      </c>
      <c r="D72" s="154">
        <f>'Connections &amp; Opex'!D55*Assumptions!D13</f>
        <v>194.12877971698109</v>
      </c>
      <c r="E72" s="154">
        <f>'Connections &amp; Opex'!E55*Assumptions!E13</f>
        <v>192.53627971698108</v>
      </c>
      <c r="F72" s="154">
        <f>'Connections &amp; Opex'!F55*Assumptions!F13</f>
        <v>190.94377971698108</v>
      </c>
      <c r="G72" s="154">
        <f>'Connections &amp; Opex'!G55*Assumptions!G13</f>
        <v>189.35127971698108</v>
      </c>
      <c r="H72" s="154">
        <f>'Connections &amp; Opex'!H55*Assumptions!H13</f>
        <v>187.75877971698108</v>
      </c>
      <c r="I72" s="154">
        <f>'Connections &amp; Opex'!I55*Assumptions!I13</f>
        <v>186.16627971698108</v>
      </c>
      <c r="J72" s="154">
        <f>'Connections &amp; Opex'!J55*Assumptions!J13</f>
        <v>184.57377971698108</v>
      </c>
      <c r="K72" s="154">
        <f>'Connections &amp; Opex'!K55*Assumptions!K13</f>
        <v>182.98127971698108</v>
      </c>
      <c r="L72" s="154">
        <f>'Connections &amp; Opex'!L55*Assumptions!L13</f>
        <v>181.38877971698111</v>
      </c>
      <c r="M72" s="154">
        <f>'Connections &amp; Opex'!M55*Assumptions!M13</f>
        <v>179.79627971698108</v>
      </c>
      <c r="N72" s="154">
        <f>'Connections &amp; Opex'!N55*Assumptions!N13</f>
        <v>178.20377971698107</v>
      </c>
      <c r="O72" s="154">
        <f>'Connections &amp; Opex'!O55*Assumptions!O13</f>
        <v>176.61127971698107</v>
      </c>
      <c r="P72" s="56"/>
      <c r="Q72" s="56"/>
    </row>
    <row r="73" spans="1:17" ht="12.75" x14ac:dyDescent="0.2">
      <c r="A73" s="153" t="s">
        <v>21</v>
      </c>
      <c r="B73" s="154">
        <f>Assumptions!B25*'Output Statements'!B259</f>
        <v>140</v>
      </c>
      <c r="C73" s="154">
        <f>Assumptions!C25*'Output Statements'!C259</f>
        <v>177.19843749999995</v>
      </c>
      <c r="D73" s="154">
        <f>Assumptions!D25*'Output Statements'!D259</f>
        <v>169.75874999999996</v>
      </c>
      <c r="E73" s="154">
        <f>Assumptions!E25*'Output Statements'!E259</f>
        <v>171.24668749999998</v>
      </c>
      <c r="F73" s="154">
        <f>Assumptions!$F$25*'Output Statements'!F259</f>
        <v>170.94909999999996</v>
      </c>
      <c r="G73" s="154">
        <f>Assumptions!$F$25*'Output Statements'!G259</f>
        <v>171.00861749999999</v>
      </c>
      <c r="H73" s="154">
        <f>Assumptions!$F$25*'Output Statements'!H259</f>
        <v>170.99671399999997</v>
      </c>
      <c r="I73" s="154">
        <f>Assumptions!$F$25*'Output Statements'!I259</f>
        <v>170.99909469999997</v>
      </c>
      <c r="J73" s="154">
        <f>Assumptions!$F$25*'Output Statements'!J259</f>
        <v>170.99861855999995</v>
      </c>
      <c r="K73" s="154">
        <f>Assumptions!$F$25*'Output Statements'!K259</f>
        <v>170.99871378799998</v>
      </c>
      <c r="L73" s="154">
        <f>Assumptions!$F$25*'Output Statements'!L259</f>
        <v>170.99869474239995</v>
      </c>
      <c r="M73" s="154">
        <f>Assumptions!$F$25*'Output Statements'!M259</f>
        <v>170.99869855151996</v>
      </c>
      <c r="N73" s="154">
        <f>Assumptions!$F$25*'Output Statements'!N259</f>
        <v>170.99869778969597</v>
      </c>
      <c r="O73" s="154">
        <f>Assumptions!$F$25*'Output Statements'!O259</f>
        <v>170.99869794206077</v>
      </c>
      <c r="P73" s="56"/>
      <c r="Q73" s="56"/>
    </row>
    <row r="74" spans="1:17" ht="12.75" x14ac:dyDescent="0.2">
      <c r="A74" s="393" t="str">
        <f>'Connections &amp; Opex'!A57</f>
        <v>Other OPEX</v>
      </c>
      <c r="B74" s="162">
        <f>'Connections &amp; Opex'!B59*Assumptions!B13</f>
        <v>0</v>
      </c>
      <c r="C74" s="162">
        <f>'Connections &amp; Opex'!C59*Assumptions!C13</f>
        <v>0</v>
      </c>
      <c r="D74" s="162">
        <f>'Connections &amp; Opex'!D59*Assumptions!D13</f>
        <v>0</v>
      </c>
      <c r="E74" s="162">
        <f>'Connections &amp; Opex'!E59*Assumptions!E13</f>
        <v>0</v>
      </c>
      <c r="F74" s="162">
        <f>'Connections &amp; Opex'!F59*Assumptions!F13</f>
        <v>0</v>
      </c>
      <c r="G74" s="162">
        <f>'Connections &amp; Opex'!G59*Assumptions!G13</f>
        <v>0</v>
      </c>
      <c r="H74" s="162">
        <f>'Connections &amp; Opex'!H59*Assumptions!H13</f>
        <v>0</v>
      </c>
      <c r="I74" s="162">
        <f>'Connections &amp; Opex'!I59*Assumptions!I13</f>
        <v>0</v>
      </c>
      <c r="J74" s="162">
        <f>'Connections &amp; Opex'!J59*Assumptions!J13</f>
        <v>0</v>
      </c>
      <c r="K74" s="162">
        <f>'Connections &amp; Opex'!K59*Assumptions!K13</f>
        <v>0</v>
      </c>
      <c r="L74" s="162">
        <f>'Connections &amp; Opex'!L59*Assumptions!L13</f>
        <v>0</v>
      </c>
      <c r="M74" s="162">
        <f>'Connections &amp; Opex'!M59*Assumptions!M13</f>
        <v>0</v>
      </c>
      <c r="N74" s="162">
        <f>'Connections &amp; Opex'!N59*Assumptions!N13</f>
        <v>0</v>
      </c>
      <c r="O74" s="162">
        <f>'Connections &amp; Opex'!O59*Assumptions!O13</f>
        <v>0</v>
      </c>
      <c r="P74" s="56"/>
      <c r="Q74" s="56"/>
    </row>
    <row r="75" spans="1:17" ht="12.75" x14ac:dyDescent="0.2">
      <c r="A75" s="375" t="s">
        <v>147</v>
      </c>
      <c r="B75" s="154">
        <f t="shared" ref="B75:O75" si="29">SUM(B67:B74)</f>
        <v>1241.5688985849054</v>
      </c>
      <c r="C75" s="154">
        <f t="shared" si="29"/>
        <v>1270.8048360849054</v>
      </c>
      <c r="D75" s="154">
        <f t="shared" si="29"/>
        <v>1255.4026485849054</v>
      </c>
      <c r="E75" s="154">
        <f t="shared" si="29"/>
        <v>1248.9280860849053</v>
      </c>
      <c r="F75" s="154">
        <f t="shared" si="29"/>
        <v>1240.6679985849055</v>
      </c>
      <c r="G75" s="154">
        <f t="shared" si="29"/>
        <v>1232.7650160849053</v>
      </c>
      <c r="H75" s="154">
        <f t="shared" si="29"/>
        <v>1224.7906125849054</v>
      </c>
      <c r="I75" s="154">
        <f t="shared" si="29"/>
        <v>1216.8304932849053</v>
      </c>
      <c r="J75" s="154">
        <f t="shared" si="29"/>
        <v>1208.8675171449054</v>
      </c>
      <c r="K75" s="154">
        <f t="shared" si="29"/>
        <v>1200.9051123729055</v>
      </c>
      <c r="L75" s="154">
        <f t="shared" si="29"/>
        <v>1192.9425933273055</v>
      </c>
      <c r="M75" s="154">
        <f t="shared" si="29"/>
        <v>1184.9800971364252</v>
      </c>
      <c r="N75" s="154">
        <f t="shared" si="29"/>
        <v>1177.0175963746015</v>
      </c>
      <c r="O75" s="154">
        <f t="shared" si="29"/>
        <v>1169.0550965269661</v>
      </c>
      <c r="P75" s="56"/>
      <c r="Q75" s="56"/>
    </row>
    <row r="76" spans="1:17" ht="4.5" customHeight="1" x14ac:dyDescent="0.2">
      <c r="A76" s="374"/>
      <c r="B76" s="154"/>
      <c r="C76" s="154"/>
      <c r="D76" s="154"/>
      <c r="E76" s="154"/>
      <c r="F76" s="154"/>
      <c r="G76" s="154"/>
      <c r="H76" s="154"/>
      <c r="I76" s="154"/>
      <c r="J76" s="154"/>
      <c r="K76" s="154"/>
      <c r="L76" s="154"/>
      <c r="M76" s="154"/>
      <c r="N76" s="154"/>
      <c r="O76" s="154"/>
      <c r="P76" s="56"/>
      <c r="Q76" s="56"/>
    </row>
    <row r="77" spans="1:17" ht="12.75" x14ac:dyDescent="0.2">
      <c r="A77" s="376" t="s">
        <v>148</v>
      </c>
      <c r="B77" s="154">
        <f t="shared" ref="B77:O77" si="30">B63-B75</f>
        <v>1097.6932889150942</v>
      </c>
      <c r="C77" s="154">
        <f t="shared" si="30"/>
        <v>1068.4573514150941</v>
      </c>
      <c r="D77" s="154">
        <f t="shared" si="30"/>
        <v>1083.8595389150942</v>
      </c>
      <c r="E77" s="154">
        <f t="shared" si="30"/>
        <v>1090.3341014150942</v>
      </c>
      <c r="F77" s="154">
        <f t="shared" si="30"/>
        <v>1098.594188915094</v>
      </c>
      <c r="G77" s="154">
        <f t="shared" si="30"/>
        <v>1106.4971714150943</v>
      </c>
      <c r="H77" s="154">
        <f t="shared" si="30"/>
        <v>1114.4715749150942</v>
      </c>
      <c r="I77" s="154">
        <f t="shared" si="30"/>
        <v>1122.4316942150942</v>
      </c>
      <c r="J77" s="154">
        <f t="shared" si="30"/>
        <v>1130.3946703550941</v>
      </c>
      <c r="K77" s="154">
        <f t="shared" si="30"/>
        <v>1138.357075127094</v>
      </c>
      <c r="L77" s="154">
        <f t="shared" si="30"/>
        <v>1146.319594172694</v>
      </c>
      <c r="M77" s="154">
        <f t="shared" si="30"/>
        <v>1154.2820903635743</v>
      </c>
      <c r="N77" s="154">
        <f t="shared" si="30"/>
        <v>1162.2445911253981</v>
      </c>
      <c r="O77" s="154">
        <f t="shared" si="30"/>
        <v>1170.2070909730335</v>
      </c>
      <c r="P77" s="56"/>
      <c r="Q77" s="56"/>
    </row>
    <row r="78" spans="1:17" ht="3.75" customHeight="1" x14ac:dyDescent="0.2">
      <c r="A78" s="156"/>
      <c r="B78" s="154"/>
      <c r="C78" s="154"/>
      <c r="D78" s="154"/>
      <c r="E78" s="154"/>
      <c r="F78" s="154"/>
      <c r="G78" s="154"/>
      <c r="H78" s="154"/>
      <c r="I78" s="154"/>
      <c r="J78" s="154"/>
      <c r="K78" s="154"/>
      <c r="L78" s="154"/>
      <c r="M78" s="154"/>
      <c r="N78" s="154"/>
      <c r="O78" s="154"/>
      <c r="P78" s="56"/>
      <c r="Q78" s="56"/>
    </row>
    <row r="79" spans="1:17" ht="12.75" x14ac:dyDescent="0.2">
      <c r="A79" s="375" t="s">
        <v>149</v>
      </c>
      <c r="B79" s="154">
        <f t="shared" ref="B79:O79" si="31">B304</f>
        <v>318.50000000000006</v>
      </c>
      <c r="C79" s="154">
        <f t="shared" si="31"/>
        <v>318.50000000000006</v>
      </c>
      <c r="D79" s="154">
        <f t="shared" si="31"/>
        <v>318.50000000000006</v>
      </c>
      <c r="E79" s="154">
        <f t="shared" si="31"/>
        <v>318.50000000000006</v>
      </c>
      <c r="F79" s="154">
        <f t="shared" si="31"/>
        <v>318.50000000000006</v>
      </c>
      <c r="G79" s="154">
        <f t="shared" si="31"/>
        <v>318.50000000000006</v>
      </c>
      <c r="H79" s="154">
        <f t="shared" si="31"/>
        <v>318.50000000000006</v>
      </c>
      <c r="I79" s="154">
        <f t="shared" si="31"/>
        <v>318.50000000000006</v>
      </c>
      <c r="J79" s="154">
        <f t="shared" si="31"/>
        <v>318.50000000000006</v>
      </c>
      <c r="K79" s="154">
        <f t="shared" si="31"/>
        <v>318.50000000000006</v>
      </c>
      <c r="L79" s="154">
        <f t="shared" si="31"/>
        <v>318.50000000000006</v>
      </c>
      <c r="M79" s="154">
        <f t="shared" si="31"/>
        <v>318.50000000000006</v>
      </c>
      <c r="N79" s="154">
        <f t="shared" si="31"/>
        <v>318.50000000000006</v>
      </c>
      <c r="O79" s="154">
        <f t="shared" si="31"/>
        <v>318.50000000000006</v>
      </c>
      <c r="P79" s="56"/>
      <c r="Q79" s="56"/>
    </row>
    <row r="80" spans="1:17" ht="12.75" x14ac:dyDescent="0.2">
      <c r="A80" s="377" t="s">
        <v>150</v>
      </c>
      <c r="B80" s="162">
        <f>B241</f>
        <v>300</v>
      </c>
      <c r="C80" s="162">
        <f t="shared" ref="C80:O80" si="32">C241</f>
        <v>290</v>
      </c>
      <c r="D80" s="162">
        <f t="shared" si="32"/>
        <v>270</v>
      </c>
      <c r="E80" s="162">
        <f t="shared" si="32"/>
        <v>200</v>
      </c>
      <c r="F80" s="162">
        <f t="shared" si="32"/>
        <v>80</v>
      </c>
      <c r="G80" s="162">
        <f t="shared" si="32"/>
        <v>0</v>
      </c>
      <c r="H80" s="162">
        <f t="shared" si="32"/>
        <v>0</v>
      </c>
      <c r="I80" s="162">
        <f t="shared" si="32"/>
        <v>0</v>
      </c>
      <c r="J80" s="162">
        <f t="shared" si="32"/>
        <v>0</v>
      </c>
      <c r="K80" s="162">
        <f t="shared" si="32"/>
        <v>0</v>
      </c>
      <c r="L80" s="162">
        <f t="shared" si="32"/>
        <v>0</v>
      </c>
      <c r="M80" s="162">
        <f t="shared" si="32"/>
        <v>0</v>
      </c>
      <c r="N80" s="162">
        <f t="shared" si="32"/>
        <v>0</v>
      </c>
      <c r="O80" s="162">
        <f t="shared" si="32"/>
        <v>0</v>
      </c>
      <c r="P80" s="56"/>
      <c r="Q80" s="56"/>
    </row>
    <row r="81" spans="1:17" ht="12.75" x14ac:dyDescent="0.2">
      <c r="A81" s="375" t="s">
        <v>147</v>
      </c>
      <c r="B81" s="154">
        <f t="shared" ref="B81:O81" si="33">SUM(B79:B80)</f>
        <v>618.5</v>
      </c>
      <c r="C81" s="154">
        <f t="shared" si="33"/>
        <v>608.5</v>
      </c>
      <c r="D81" s="154">
        <f t="shared" si="33"/>
        <v>588.5</v>
      </c>
      <c r="E81" s="154">
        <f t="shared" si="33"/>
        <v>518.5</v>
      </c>
      <c r="F81" s="154">
        <f t="shared" si="33"/>
        <v>398.50000000000006</v>
      </c>
      <c r="G81" s="154">
        <f t="shared" si="33"/>
        <v>318.50000000000006</v>
      </c>
      <c r="H81" s="154">
        <f t="shared" si="33"/>
        <v>318.50000000000006</v>
      </c>
      <c r="I81" s="154">
        <f t="shared" si="33"/>
        <v>318.50000000000006</v>
      </c>
      <c r="J81" s="154">
        <f t="shared" si="33"/>
        <v>318.50000000000006</v>
      </c>
      <c r="K81" s="154">
        <f t="shared" si="33"/>
        <v>318.50000000000006</v>
      </c>
      <c r="L81" s="154">
        <f t="shared" si="33"/>
        <v>318.50000000000006</v>
      </c>
      <c r="M81" s="154">
        <f t="shared" si="33"/>
        <v>318.50000000000006</v>
      </c>
      <c r="N81" s="154">
        <f t="shared" si="33"/>
        <v>318.50000000000006</v>
      </c>
      <c r="O81" s="154">
        <f t="shared" si="33"/>
        <v>318.50000000000006</v>
      </c>
      <c r="P81" s="56"/>
      <c r="Q81" s="56"/>
    </row>
    <row r="82" spans="1:17" ht="3" customHeight="1" x14ac:dyDescent="0.2">
      <c r="A82" s="374"/>
      <c r="B82" s="154"/>
      <c r="C82" s="154"/>
      <c r="D82" s="154"/>
      <c r="E82" s="154"/>
      <c r="F82" s="154"/>
      <c r="G82" s="154"/>
      <c r="H82" s="154"/>
      <c r="I82" s="154"/>
      <c r="J82" s="154"/>
      <c r="K82" s="154"/>
      <c r="L82" s="154"/>
      <c r="M82" s="154"/>
      <c r="N82" s="154"/>
      <c r="O82" s="154"/>
      <c r="P82" s="56"/>
      <c r="Q82" s="56"/>
    </row>
    <row r="83" spans="1:17" ht="12.75" x14ac:dyDescent="0.2">
      <c r="A83" s="376" t="s">
        <v>151</v>
      </c>
      <c r="B83" s="154">
        <f t="shared" ref="B83:O83" si="34">B77-B81</f>
        <v>479.19328891509417</v>
      </c>
      <c r="C83" s="154">
        <f t="shared" si="34"/>
        <v>459.95735141509408</v>
      </c>
      <c r="D83" s="154">
        <f t="shared" si="34"/>
        <v>495.35953891509416</v>
      </c>
      <c r="E83" s="154">
        <f t="shared" si="34"/>
        <v>571.83410141509421</v>
      </c>
      <c r="F83" s="154">
        <f t="shared" si="34"/>
        <v>700.09418891509404</v>
      </c>
      <c r="G83" s="154">
        <f t="shared" si="34"/>
        <v>787.99717141509427</v>
      </c>
      <c r="H83" s="154">
        <f t="shared" si="34"/>
        <v>795.97157491509415</v>
      </c>
      <c r="I83" s="154">
        <f t="shared" si="34"/>
        <v>803.93169421509424</v>
      </c>
      <c r="J83" s="154">
        <f t="shared" si="34"/>
        <v>811.89467035509415</v>
      </c>
      <c r="K83" s="154">
        <f t="shared" si="34"/>
        <v>819.85707512709405</v>
      </c>
      <c r="L83" s="154">
        <f t="shared" si="34"/>
        <v>827.819594172694</v>
      </c>
      <c r="M83" s="154">
        <f t="shared" si="34"/>
        <v>835.7820903635743</v>
      </c>
      <c r="N83" s="154">
        <f t="shared" si="34"/>
        <v>843.74459112539807</v>
      </c>
      <c r="O83" s="154">
        <f t="shared" si="34"/>
        <v>851.70709097303347</v>
      </c>
      <c r="P83" s="56"/>
      <c r="Q83" s="56"/>
    </row>
    <row r="84" spans="1:17" ht="3.75" customHeight="1" x14ac:dyDescent="0.2">
      <c r="A84" s="374"/>
      <c r="B84" s="154"/>
      <c r="C84" s="154"/>
      <c r="D84" s="154"/>
      <c r="E84" s="154"/>
      <c r="F84" s="154"/>
      <c r="G84" s="154"/>
      <c r="H84" s="154"/>
      <c r="I84" s="154"/>
      <c r="J84" s="154"/>
      <c r="K84" s="154"/>
      <c r="L84" s="154"/>
      <c r="M84" s="154"/>
      <c r="N84" s="154"/>
      <c r="O84" s="154"/>
      <c r="P84" s="56"/>
      <c r="Q84" s="56"/>
    </row>
    <row r="85" spans="1:17" ht="12.75" x14ac:dyDescent="0.2">
      <c r="A85" s="377" t="s">
        <v>152</v>
      </c>
      <c r="B85" s="162">
        <f>IF(B83&gt;0,Assumptions!B28*B83,0)</f>
        <v>95.838657783018846</v>
      </c>
      <c r="C85" s="162">
        <f>IF(C83&gt;0,Assumptions!C28*C83,0)</f>
        <v>91.991470283018828</v>
      </c>
      <c r="D85" s="162">
        <f>IF(D83&gt;0,Assumptions!D28*D83,0)</f>
        <v>99.071907783018844</v>
      </c>
      <c r="E85" s="162">
        <f>IF(E83&gt;0,Assumptions!E28*E83,0)</f>
        <v>114.36682028301885</v>
      </c>
      <c r="F85" s="162">
        <f>IF(F83&gt;0,Assumptions!$F28*F83,0)</f>
        <v>140.01883778301882</v>
      </c>
      <c r="G85" s="162">
        <f>IF(G83&gt;0,Assumptions!$F28*G83,0)</f>
        <v>157.59943428301887</v>
      </c>
      <c r="H85" s="162">
        <f>IF(H83&gt;0,Assumptions!$F28*H83,0)</f>
        <v>159.19431498301884</v>
      </c>
      <c r="I85" s="162">
        <f>IF(I83&gt;0,Assumptions!$F28*I83,0)</f>
        <v>160.78633884301885</v>
      </c>
      <c r="J85" s="162">
        <f>IF(J83&gt;0,Assumptions!$F28*J83,0)</f>
        <v>162.37893407101885</v>
      </c>
      <c r="K85" s="162">
        <f>IF(K83&gt;0,Assumptions!$F28*K83,0)</f>
        <v>163.97141502541882</v>
      </c>
      <c r="L85" s="162">
        <f>IF(L83&gt;0,Assumptions!$F28*L83,0)</f>
        <v>165.56391883453881</v>
      </c>
      <c r="M85" s="162">
        <f>IF(M83&gt;0,Assumptions!$F28*M83,0)</f>
        <v>167.15641807271487</v>
      </c>
      <c r="N85" s="162">
        <f>IF(N83&gt;0,Assumptions!$F28*N83,0)</f>
        <v>168.74891822507962</v>
      </c>
      <c r="O85" s="162">
        <f>IF(O83&gt;0,Assumptions!$F28*O83,0)</f>
        <v>170.34141819460672</v>
      </c>
      <c r="P85" s="56"/>
      <c r="Q85" s="56"/>
    </row>
    <row r="86" spans="1:17" s="471" customFormat="1" ht="12.75" x14ac:dyDescent="0.2">
      <c r="A86" s="386" t="s">
        <v>153</v>
      </c>
      <c r="B86" s="387">
        <f t="shared" ref="B86:O86" si="35">B83-B85</f>
        <v>383.35463113207533</v>
      </c>
      <c r="C86" s="387">
        <f t="shared" si="35"/>
        <v>367.96588113207525</v>
      </c>
      <c r="D86" s="387">
        <f t="shared" si="35"/>
        <v>396.28763113207532</v>
      </c>
      <c r="E86" s="387">
        <f t="shared" si="35"/>
        <v>457.46728113207536</v>
      </c>
      <c r="F86" s="387">
        <f t="shared" si="35"/>
        <v>560.07535113207518</v>
      </c>
      <c r="G86" s="387">
        <f t="shared" si="35"/>
        <v>630.39773713207546</v>
      </c>
      <c r="H86" s="387">
        <f t="shared" si="35"/>
        <v>636.77725993207537</v>
      </c>
      <c r="I86" s="387">
        <f t="shared" si="35"/>
        <v>643.14535537207541</v>
      </c>
      <c r="J86" s="387">
        <f t="shared" si="35"/>
        <v>649.51573628407527</v>
      </c>
      <c r="K86" s="387">
        <f t="shared" si="35"/>
        <v>655.88566010167528</v>
      </c>
      <c r="L86" s="387">
        <f t="shared" si="35"/>
        <v>662.25567533815524</v>
      </c>
      <c r="M86" s="387">
        <f t="shared" si="35"/>
        <v>668.62567229085948</v>
      </c>
      <c r="N86" s="387">
        <f t="shared" si="35"/>
        <v>674.99567290031848</v>
      </c>
      <c r="O86" s="387">
        <f t="shared" si="35"/>
        <v>681.36567277842676</v>
      </c>
      <c r="P86" s="382"/>
      <c r="Q86" s="382"/>
    </row>
    <row r="87" spans="1:17" ht="10.5" customHeight="1" x14ac:dyDescent="0.2">
      <c r="A87" s="149"/>
      <c r="B87" s="154"/>
      <c r="C87" s="154"/>
      <c r="D87" s="154"/>
      <c r="E87" s="154"/>
      <c r="F87" s="154"/>
      <c r="G87" s="154"/>
      <c r="H87" s="154"/>
      <c r="I87" s="154"/>
      <c r="J87" s="154"/>
      <c r="K87" s="154"/>
      <c r="L87" s="154"/>
      <c r="M87" s="154"/>
      <c r="N87" s="154"/>
      <c r="O87" s="154"/>
      <c r="P87" s="56"/>
      <c r="Q87" s="56"/>
    </row>
    <row r="88" spans="1:17" ht="20.25" x14ac:dyDescent="0.3">
      <c r="A88" s="72" t="str">
        <f>Assumptions!B3</f>
        <v>simulation water company</v>
      </c>
      <c r="B88" s="55"/>
      <c r="C88" s="55"/>
      <c r="D88" s="143"/>
      <c r="E88" s="147"/>
      <c r="F88" s="145"/>
      <c r="G88" s="145"/>
      <c r="H88" s="145"/>
      <c r="I88" s="145"/>
      <c r="J88" s="145"/>
      <c r="K88" s="145"/>
      <c r="L88" s="145"/>
      <c r="M88" s="145"/>
      <c r="N88" s="145"/>
      <c r="O88" s="145"/>
      <c r="P88" s="56"/>
      <c r="Q88" s="56"/>
    </row>
    <row r="89" spans="1:17" ht="4.5" customHeight="1" x14ac:dyDescent="0.2">
      <c r="A89" s="153"/>
      <c r="B89" s="153"/>
      <c r="C89" s="145"/>
      <c r="D89" s="153"/>
      <c r="E89" s="153"/>
      <c r="F89" s="153"/>
      <c r="G89" s="153"/>
      <c r="H89" s="153"/>
      <c r="I89" s="153"/>
      <c r="J89" s="153"/>
      <c r="K89" s="145"/>
      <c r="L89" s="153"/>
      <c r="M89" s="153"/>
      <c r="N89" s="153"/>
      <c r="O89" s="153"/>
      <c r="P89" s="56"/>
      <c r="Q89" s="56"/>
    </row>
    <row r="90" spans="1:17" ht="18" x14ac:dyDescent="0.25">
      <c r="A90" s="59" t="s">
        <v>154</v>
      </c>
      <c r="B90" s="60"/>
      <c r="C90" s="145"/>
      <c r="D90" s="153"/>
      <c r="E90" s="147"/>
      <c r="F90" s="153"/>
      <c r="G90" s="153"/>
      <c r="H90" s="153"/>
      <c r="I90" s="153"/>
      <c r="J90" s="153"/>
      <c r="K90" s="153"/>
      <c r="L90" s="153"/>
      <c r="M90" s="153"/>
      <c r="N90" s="153"/>
      <c r="O90" s="153"/>
      <c r="P90" s="56"/>
      <c r="Q90" s="56"/>
    </row>
    <row r="91" spans="1:17" ht="12.75" x14ac:dyDescent="0.2">
      <c r="A91" s="153" t="str">
        <f>+A54</f>
        <v>Million FMs</v>
      </c>
      <c r="B91" s="145"/>
      <c r="C91" s="145"/>
      <c r="D91" s="153"/>
      <c r="E91" s="146"/>
      <c r="F91" s="145"/>
      <c r="G91" s="147"/>
      <c r="H91" s="153"/>
      <c r="I91" s="153"/>
      <c r="J91" s="153"/>
      <c r="K91" s="146" t="str">
        <f>Assumptions!B9</f>
        <v>15,000 FMs = 1US$</v>
      </c>
      <c r="L91" s="451"/>
      <c r="M91" s="153"/>
      <c r="N91" s="153"/>
      <c r="O91" s="153"/>
      <c r="P91" s="56"/>
      <c r="Q91" s="56"/>
    </row>
    <row r="92" spans="1:17" ht="12.75" x14ac:dyDescent="0.2">
      <c r="A92" s="78"/>
      <c r="B92" s="76">
        <f>Assumptions!B4+1</f>
        <v>2018</v>
      </c>
      <c r="C92" s="76">
        <f>B92+1</f>
        <v>2019</v>
      </c>
      <c r="D92" s="76">
        <f t="shared" ref="D92:O92" si="36">C92+1</f>
        <v>2020</v>
      </c>
      <c r="E92" s="76">
        <f t="shared" si="36"/>
        <v>2021</v>
      </c>
      <c r="F92" s="76">
        <f t="shared" si="36"/>
        <v>2022</v>
      </c>
      <c r="G92" s="76">
        <f t="shared" si="36"/>
        <v>2023</v>
      </c>
      <c r="H92" s="76">
        <f t="shared" si="36"/>
        <v>2024</v>
      </c>
      <c r="I92" s="76">
        <f t="shared" si="36"/>
        <v>2025</v>
      </c>
      <c r="J92" s="76">
        <f t="shared" si="36"/>
        <v>2026</v>
      </c>
      <c r="K92" s="76">
        <f t="shared" si="36"/>
        <v>2027</v>
      </c>
      <c r="L92" s="76">
        <f t="shared" si="36"/>
        <v>2028</v>
      </c>
      <c r="M92" s="76">
        <f t="shared" si="36"/>
        <v>2029</v>
      </c>
      <c r="N92" s="76">
        <f t="shared" si="36"/>
        <v>2030</v>
      </c>
      <c r="O92" s="76">
        <f t="shared" si="36"/>
        <v>2031</v>
      </c>
      <c r="P92" s="56"/>
      <c r="Q92" s="56"/>
    </row>
    <row r="93" spans="1:17" ht="3.75" customHeight="1" x14ac:dyDescent="0.2">
      <c r="A93" s="145"/>
      <c r="B93" s="145"/>
      <c r="C93" s="145"/>
      <c r="D93" s="145"/>
      <c r="E93" s="145"/>
      <c r="F93" s="145"/>
      <c r="G93" s="145"/>
      <c r="H93" s="145"/>
      <c r="I93" s="145"/>
      <c r="J93" s="145"/>
      <c r="K93" s="145"/>
      <c r="L93" s="145"/>
      <c r="M93" s="145"/>
      <c r="N93" s="145"/>
      <c r="O93" s="145"/>
      <c r="P93" s="56"/>
      <c r="Q93" s="56"/>
    </row>
    <row r="94" spans="1:17" ht="12.75" x14ac:dyDescent="0.2">
      <c r="A94" s="148" t="s">
        <v>155</v>
      </c>
      <c r="B94" s="145"/>
      <c r="C94" s="145"/>
      <c r="D94" s="145"/>
      <c r="E94" s="145"/>
      <c r="F94" s="145"/>
      <c r="G94" s="145"/>
      <c r="H94" s="145"/>
      <c r="I94" s="145"/>
      <c r="J94" s="145"/>
      <c r="K94" s="145"/>
      <c r="L94" s="145"/>
      <c r="M94" s="145"/>
      <c r="N94" s="145"/>
      <c r="O94" s="145"/>
      <c r="P94" s="56"/>
      <c r="Q94" s="56"/>
    </row>
    <row r="95" spans="1:17" ht="12.75" x14ac:dyDescent="0.2">
      <c r="A95" s="149" t="s">
        <v>156</v>
      </c>
      <c r="B95" s="154">
        <f t="shared" ref="B95:O95" si="37">B86+B80</f>
        <v>683.35463113207538</v>
      </c>
      <c r="C95" s="154">
        <f t="shared" si="37"/>
        <v>657.96588113207531</v>
      </c>
      <c r="D95" s="154">
        <f t="shared" si="37"/>
        <v>666.28763113207538</v>
      </c>
      <c r="E95" s="154">
        <f t="shared" si="37"/>
        <v>657.46728113207541</v>
      </c>
      <c r="F95" s="154">
        <f t="shared" si="37"/>
        <v>640.07535113207518</v>
      </c>
      <c r="G95" s="154">
        <f t="shared" si="37"/>
        <v>630.39773713207546</v>
      </c>
      <c r="H95" s="154">
        <f t="shared" si="37"/>
        <v>636.77725993207537</v>
      </c>
      <c r="I95" s="154">
        <f t="shared" si="37"/>
        <v>643.14535537207541</v>
      </c>
      <c r="J95" s="154">
        <f t="shared" si="37"/>
        <v>649.51573628407527</v>
      </c>
      <c r="K95" s="154">
        <f t="shared" si="37"/>
        <v>655.88566010167528</v>
      </c>
      <c r="L95" s="154">
        <f t="shared" si="37"/>
        <v>662.25567533815524</v>
      </c>
      <c r="M95" s="154">
        <f t="shared" si="37"/>
        <v>668.62567229085948</v>
      </c>
      <c r="N95" s="154">
        <f t="shared" si="37"/>
        <v>674.99567290031848</v>
      </c>
      <c r="O95" s="154">
        <f t="shared" si="37"/>
        <v>681.36567277842676</v>
      </c>
      <c r="P95" s="56"/>
      <c r="Q95" s="56"/>
    </row>
    <row r="96" spans="1:17" ht="12.75" x14ac:dyDescent="0.2">
      <c r="A96" s="169" t="s">
        <v>157</v>
      </c>
      <c r="B96" s="162">
        <f t="shared" ref="B96:O96" si="38">B79</f>
        <v>318.50000000000006</v>
      </c>
      <c r="C96" s="162">
        <f t="shared" si="38"/>
        <v>318.50000000000006</v>
      </c>
      <c r="D96" s="162">
        <f t="shared" si="38"/>
        <v>318.50000000000006</v>
      </c>
      <c r="E96" s="162">
        <f t="shared" si="38"/>
        <v>318.50000000000006</v>
      </c>
      <c r="F96" s="162">
        <f t="shared" si="38"/>
        <v>318.50000000000006</v>
      </c>
      <c r="G96" s="162">
        <f t="shared" si="38"/>
        <v>318.50000000000006</v>
      </c>
      <c r="H96" s="162">
        <f t="shared" si="38"/>
        <v>318.50000000000006</v>
      </c>
      <c r="I96" s="162">
        <f t="shared" si="38"/>
        <v>318.50000000000006</v>
      </c>
      <c r="J96" s="162">
        <f t="shared" si="38"/>
        <v>318.50000000000006</v>
      </c>
      <c r="K96" s="162">
        <f t="shared" si="38"/>
        <v>318.50000000000006</v>
      </c>
      <c r="L96" s="162">
        <f t="shared" si="38"/>
        <v>318.50000000000006</v>
      </c>
      <c r="M96" s="162">
        <f t="shared" si="38"/>
        <v>318.50000000000006</v>
      </c>
      <c r="N96" s="162">
        <f t="shared" si="38"/>
        <v>318.50000000000006</v>
      </c>
      <c r="O96" s="162">
        <f t="shared" si="38"/>
        <v>318.50000000000006</v>
      </c>
      <c r="P96" s="56"/>
      <c r="Q96" s="56"/>
    </row>
    <row r="97" spans="1:17" s="471" customFormat="1" ht="12" customHeight="1" x14ac:dyDescent="0.2">
      <c r="A97" s="380" t="s">
        <v>158</v>
      </c>
      <c r="B97" s="381">
        <f t="shared" ref="B97:O97" si="39">SUM(B95:B96)</f>
        <v>1001.8546311320754</v>
      </c>
      <c r="C97" s="381">
        <f t="shared" si="39"/>
        <v>976.46588113207531</v>
      </c>
      <c r="D97" s="381">
        <f t="shared" si="39"/>
        <v>984.78763113207538</v>
      </c>
      <c r="E97" s="381">
        <f t="shared" si="39"/>
        <v>975.96728113207541</v>
      </c>
      <c r="F97" s="381">
        <f t="shared" si="39"/>
        <v>958.57535113207518</v>
      </c>
      <c r="G97" s="381">
        <f t="shared" si="39"/>
        <v>948.89773713207546</v>
      </c>
      <c r="H97" s="381">
        <f t="shared" si="39"/>
        <v>955.27725993207537</v>
      </c>
      <c r="I97" s="381">
        <f t="shared" si="39"/>
        <v>961.64535537207553</v>
      </c>
      <c r="J97" s="381">
        <f t="shared" si="39"/>
        <v>968.01573628407527</v>
      </c>
      <c r="K97" s="381">
        <f t="shared" si="39"/>
        <v>974.38566010167528</v>
      </c>
      <c r="L97" s="381">
        <f t="shared" si="39"/>
        <v>980.75567533815524</v>
      </c>
      <c r="M97" s="381">
        <f t="shared" si="39"/>
        <v>987.12567229085948</v>
      </c>
      <c r="N97" s="381">
        <f t="shared" si="39"/>
        <v>993.4956729003186</v>
      </c>
      <c r="O97" s="381">
        <f t="shared" si="39"/>
        <v>999.86567277842687</v>
      </c>
      <c r="P97" s="382"/>
      <c r="Q97" s="382"/>
    </row>
    <row r="98" spans="1:17" ht="12.75" x14ac:dyDescent="0.2">
      <c r="A98" s="149" t="s">
        <v>159</v>
      </c>
      <c r="B98" s="154">
        <f t="shared" ref="B98:O98" si="40">B254</f>
        <v>50</v>
      </c>
      <c r="C98" s="154">
        <f t="shared" si="40"/>
        <v>155.19611232311317</v>
      </c>
      <c r="D98" s="154">
        <f t="shared" si="40"/>
        <v>158.85060451061318</v>
      </c>
      <c r="E98" s="154">
        <f t="shared" si="40"/>
        <v>156.92533107311317</v>
      </c>
      <c r="F98" s="154">
        <f t="shared" si="40"/>
        <v>156.11601076061316</v>
      </c>
      <c r="G98" s="154">
        <f t="shared" si="40"/>
        <v>155.08349982311319</v>
      </c>
      <c r="H98" s="154">
        <f t="shared" si="40"/>
        <v>154.09562701061316</v>
      </c>
      <c r="I98" s="154">
        <f t="shared" si="40"/>
        <v>153.09882657311317</v>
      </c>
      <c r="J98" s="154">
        <f t="shared" si="40"/>
        <v>152.10381166061316</v>
      </c>
      <c r="K98" s="154">
        <f t="shared" si="40"/>
        <v>151.10843964311317</v>
      </c>
      <c r="L98" s="154">
        <f t="shared" si="40"/>
        <v>150.11313904661318</v>
      </c>
      <c r="M98" s="154">
        <f t="shared" si="40"/>
        <v>149.11782416591319</v>
      </c>
      <c r="N98" s="154">
        <f t="shared" si="40"/>
        <v>148.12251214205315</v>
      </c>
      <c r="O98" s="154">
        <f t="shared" si="40"/>
        <v>147.12719954682518</v>
      </c>
      <c r="P98" s="56"/>
      <c r="Q98" s="56"/>
    </row>
    <row r="99" spans="1:17" ht="18" customHeight="1" x14ac:dyDescent="0.2">
      <c r="A99" s="169" t="s">
        <v>160</v>
      </c>
      <c r="B99" s="162">
        <f t="shared" ref="B99:O99" si="41">B267+B262+B277-B316-B338</f>
        <v>165.48148123034568</v>
      </c>
      <c r="C99" s="162">
        <f t="shared" si="41"/>
        <v>-45.205763020833274</v>
      </c>
      <c r="D99" s="162">
        <f t="shared" si="41"/>
        <v>5.0121276041666647</v>
      </c>
      <c r="E99" s="162">
        <f t="shared" si="41"/>
        <v>-5.0314505208333742</v>
      </c>
      <c r="F99" s="162">
        <f t="shared" si="41"/>
        <v>-3.0227348958332811</v>
      </c>
      <c r="G99" s="162">
        <f t="shared" si="41"/>
        <v>-3.4244780208333907</v>
      </c>
      <c r="H99" s="162">
        <f t="shared" si="41"/>
        <v>-3.3441293958333347</v>
      </c>
      <c r="I99" s="162">
        <f t="shared" si="41"/>
        <v>-3.3601991208333288</v>
      </c>
      <c r="J99" s="162">
        <f t="shared" si="41"/>
        <v>-3.3569851758333016</v>
      </c>
      <c r="K99" s="162">
        <f t="shared" si="41"/>
        <v>-3.3576279648334264</v>
      </c>
      <c r="L99" s="162">
        <f t="shared" si="41"/>
        <v>-3.3574994070332593</v>
      </c>
      <c r="M99" s="162">
        <f t="shared" si="41"/>
        <v>-3.3575251185933155</v>
      </c>
      <c r="N99" s="162">
        <f t="shared" si="41"/>
        <v>-3.3575199762813384</v>
      </c>
      <c r="O99" s="162">
        <f t="shared" si="41"/>
        <v>-3.3575210047437025</v>
      </c>
      <c r="P99" s="56"/>
      <c r="Q99" s="56"/>
    </row>
    <row r="100" spans="1:17" ht="12.75" x14ac:dyDescent="0.2">
      <c r="A100" s="148" t="s">
        <v>161</v>
      </c>
      <c r="B100" s="154">
        <f t="shared" ref="B100:O100" si="42">-B99+B97+B98</f>
        <v>886.37314990172968</v>
      </c>
      <c r="C100" s="154">
        <f t="shared" si="42"/>
        <v>1176.8677564760217</v>
      </c>
      <c r="D100" s="154">
        <f t="shared" si="42"/>
        <v>1138.626108038522</v>
      </c>
      <c r="E100" s="154">
        <f t="shared" si="42"/>
        <v>1137.9240627260219</v>
      </c>
      <c r="F100" s="154">
        <f t="shared" si="42"/>
        <v>1117.7140967885216</v>
      </c>
      <c r="G100" s="154">
        <f t="shared" si="42"/>
        <v>1107.405714976022</v>
      </c>
      <c r="H100" s="154">
        <f t="shared" si="42"/>
        <v>1112.7170163385217</v>
      </c>
      <c r="I100" s="154">
        <f t="shared" si="42"/>
        <v>1118.1043810660221</v>
      </c>
      <c r="J100" s="154">
        <f t="shared" si="42"/>
        <v>1123.4765331205217</v>
      </c>
      <c r="K100" s="154">
        <f t="shared" si="42"/>
        <v>1128.8517277096219</v>
      </c>
      <c r="L100" s="154">
        <f t="shared" si="42"/>
        <v>1134.2263137918017</v>
      </c>
      <c r="M100" s="154">
        <f t="shared" si="42"/>
        <v>1139.6010215753661</v>
      </c>
      <c r="N100" s="154">
        <f t="shared" si="42"/>
        <v>1144.9757050186531</v>
      </c>
      <c r="O100" s="154">
        <f t="shared" si="42"/>
        <v>1150.3503933299958</v>
      </c>
      <c r="P100" s="56"/>
      <c r="Q100" s="56"/>
    </row>
    <row r="101" spans="1:17" ht="3.75" customHeight="1" x14ac:dyDescent="0.2">
      <c r="A101" s="145"/>
      <c r="B101" s="154"/>
      <c r="C101" s="154"/>
      <c r="D101" s="154"/>
      <c r="E101" s="154"/>
      <c r="F101" s="154"/>
      <c r="G101" s="154"/>
      <c r="H101" s="154"/>
      <c r="I101" s="154"/>
      <c r="J101" s="154"/>
      <c r="K101" s="154"/>
      <c r="L101" s="154"/>
      <c r="M101" s="154"/>
      <c r="N101" s="154"/>
      <c r="O101" s="154"/>
      <c r="P101" s="56"/>
      <c r="Q101" s="56"/>
    </row>
    <row r="102" spans="1:17" ht="12.75" x14ac:dyDescent="0.2">
      <c r="A102" s="148" t="s">
        <v>162</v>
      </c>
      <c r="B102" s="154"/>
      <c r="C102" s="154"/>
      <c r="D102" s="154"/>
      <c r="E102" s="154"/>
      <c r="F102" s="154"/>
      <c r="G102" s="154"/>
      <c r="H102" s="154"/>
      <c r="I102" s="154"/>
      <c r="J102" s="154"/>
      <c r="K102" s="154"/>
      <c r="L102" s="154"/>
      <c r="M102" s="154"/>
      <c r="N102" s="154"/>
      <c r="O102" s="154"/>
      <c r="P102" s="56"/>
      <c r="Q102" s="56"/>
    </row>
    <row r="103" spans="1:17" ht="12.75" x14ac:dyDescent="0.2">
      <c r="A103" s="149" t="s">
        <v>163</v>
      </c>
      <c r="B103" s="154">
        <f t="shared" ref="B103:O103" si="43">B80</f>
        <v>300</v>
      </c>
      <c r="C103" s="154">
        <f t="shared" si="43"/>
        <v>290</v>
      </c>
      <c r="D103" s="154">
        <f t="shared" si="43"/>
        <v>270</v>
      </c>
      <c r="E103" s="154">
        <f t="shared" si="43"/>
        <v>200</v>
      </c>
      <c r="F103" s="154">
        <f t="shared" si="43"/>
        <v>80</v>
      </c>
      <c r="G103" s="154">
        <f t="shared" si="43"/>
        <v>0</v>
      </c>
      <c r="H103" s="154">
        <f t="shared" si="43"/>
        <v>0</v>
      </c>
      <c r="I103" s="154">
        <f t="shared" si="43"/>
        <v>0</v>
      </c>
      <c r="J103" s="154">
        <f t="shared" si="43"/>
        <v>0</v>
      </c>
      <c r="K103" s="154">
        <f t="shared" si="43"/>
        <v>0</v>
      </c>
      <c r="L103" s="154">
        <f t="shared" si="43"/>
        <v>0</v>
      </c>
      <c r="M103" s="154">
        <f t="shared" si="43"/>
        <v>0</v>
      </c>
      <c r="N103" s="154">
        <f t="shared" si="43"/>
        <v>0</v>
      </c>
      <c r="O103" s="154">
        <f t="shared" si="43"/>
        <v>0</v>
      </c>
      <c r="P103" s="56"/>
      <c r="Q103" s="56"/>
    </row>
    <row r="104" spans="1:17" ht="12.75" x14ac:dyDescent="0.2">
      <c r="A104" s="169" t="s">
        <v>164</v>
      </c>
      <c r="B104" s="162">
        <f t="shared" ref="B104:O104" si="44">B244</f>
        <v>800</v>
      </c>
      <c r="C104" s="162">
        <f t="shared" si="44"/>
        <v>800</v>
      </c>
      <c r="D104" s="162">
        <f t="shared" si="44"/>
        <v>800</v>
      </c>
      <c r="E104" s="162">
        <f t="shared" si="44"/>
        <v>800</v>
      </c>
      <c r="F104" s="162">
        <f t="shared" si="44"/>
        <v>300</v>
      </c>
      <c r="G104" s="162">
        <f t="shared" si="44"/>
        <v>0</v>
      </c>
      <c r="H104" s="162">
        <f t="shared" si="44"/>
        <v>0</v>
      </c>
      <c r="I104" s="162">
        <f t="shared" si="44"/>
        <v>0</v>
      </c>
      <c r="J104" s="162">
        <f t="shared" si="44"/>
        <v>0</v>
      </c>
      <c r="K104" s="162">
        <f t="shared" si="44"/>
        <v>0</v>
      </c>
      <c r="L104" s="162">
        <f t="shared" si="44"/>
        <v>0</v>
      </c>
      <c r="M104" s="162">
        <f t="shared" si="44"/>
        <v>0</v>
      </c>
      <c r="N104" s="162">
        <f t="shared" si="44"/>
        <v>0</v>
      </c>
      <c r="O104" s="162">
        <f t="shared" si="44"/>
        <v>0</v>
      </c>
      <c r="P104" s="56"/>
      <c r="Q104" s="56"/>
    </row>
    <row r="105" spans="1:17" ht="12.75" x14ac:dyDescent="0.2">
      <c r="A105" s="161" t="s">
        <v>165</v>
      </c>
      <c r="B105" s="162">
        <f t="shared" ref="B105:O105" si="45">SUM(B103:B104)</f>
        <v>1100</v>
      </c>
      <c r="C105" s="162">
        <f t="shared" si="45"/>
        <v>1090</v>
      </c>
      <c r="D105" s="162">
        <f t="shared" si="45"/>
        <v>1070</v>
      </c>
      <c r="E105" s="162">
        <f t="shared" si="45"/>
        <v>1000</v>
      </c>
      <c r="F105" s="162">
        <f t="shared" si="45"/>
        <v>380</v>
      </c>
      <c r="G105" s="162">
        <f t="shared" si="45"/>
        <v>0</v>
      </c>
      <c r="H105" s="162">
        <f t="shared" si="45"/>
        <v>0</v>
      </c>
      <c r="I105" s="162">
        <f t="shared" si="45"/>
        <v>0</v>
      </c>
      <c r="J105" s="162">
        <f t="shared" si="45"/>
        <v>0</v>
      </c>
      <c r="K105" s="162">
        <f t="shared" si="45"/>
        <v>0</v>
      </c>
      <c r="L105" s="162">
        <f t="shared" si="45"/>
        <v>0</v>
      </c>
      <c r="M105" s="162">
        <f t="shared" si="45"/>
        <v>0</v>
      </c>
      <c r="N105" s="162">
        <f t="shared" si="45"/>
        <v>0</v>
      </c>
      <c r="O105" s="162">
        <f t="shared" si="45"/>
        <v>0</v>
      </c>
      <c r="P105" s="56"/>
      <c r="Q105" s="56"/>
    </row>
    <row r="106" spans="1:17" ht="12.75" x14ac:dyDescent="0.2">
      <c r="A106" s="148" t="s">
        <v>166</v>
      </c>
      <c r="B106" s="154">
        <f t="shared" ref="B106:O106" si="46">B100-B105</f>
        <v>-213.62685009827032</v>
      </c>
      <c r="C106" s="154">
        <f t="shared" si="46"/>
        <v>86.867756476021668</v>
      </c>
      <c r="D106" s="154">
        <f t="shared" si="46"/>
        <v>68.626108038522034</v>
      </c>
      <c r="E106" s="154">
        <f t="shared" si="46"/>
        <v>137.92406272602193</v>
      </c>
      <c r="F106" s="154">
        <f t="shared" si="46"/>
        <v>737.7140967885216</v>
      </c>
      <c r="G106" s="154">
        <f t="shared" si="46"/>
        <v>1107.405714976022</v>
      </c>
      <c r="H106" s="154">
        <f t="shared" si="46"/>
        <v>1112.7170163385217</v>
      </c>
      <c r="I106" s="154">
        <f t="shared" si="46"/>
        <v>1118.1043810660221</v>
      </c>
      <c r="J106" s="154">
        <f t="shared" si="46"/>
        <v>1123.4765331205217</v>
      </c>
      <c r="K106" s="154">
        <f t="shared" si="46"/>
        <v>1128.8517277096219</v>
      </c>
      <c r="L106" s="154">
        <f t="shared" si="46"/>
        <v>1134.2263137918017</v>
      </c>
      <c r="M106" s="154">
        <f t="shared" si="46"/>
        <v>1139.6010215753661</v>
      </c>
      <c r="N106" s="154">
        <f t="shared" si="46"/>
        <v>1144.9757050186531</v>
      </c>
      <c r="O106" s="154">
        <f t="shared" si="46"/>
        <v>1150.3503933299958</v>
      </c>
      <c r="P106" s="56"/>
      <c r="Q106" s="56"/>
    </row>
    <row r="107" spans="1:17" ht="3.75" customHeight="1" x14ac:dyDescent="0.2">
      <c r="A107" s="145"/>
      <c r="B107" s="154"/>
      <c r="C107" s="154"/>
      <c r="D107" s="154"/>
      <c r="E107" s="154"/>
      <c r="F107" s="154"/>
      <c r="G107" s="154"/>
      <c r="H107" s="154"/>
      <c r="I107" s="154"/>
      <c r="J107" s="154"/>
      <c r="K107" s="154"/>
      <c r="L107" s="154"/>
      <c r="M107" s="154"/>
      <c r="N107" s="154"/>
      <c r="O107" s="154"/>
      <c r="P107" s="56"/>
      <c r="Q107" s="56"/>
    </row>
    <row r="108" spans="1:17" ht="12.75" x14ac:dyDescent="0.2">
      <c r="A108" s="148" t="s">
        <v>167</v>
      </c>
      <c r="B108" s="154"/>
      <c r="C108" s="154"/>
      <c r="D108" s="154"/>
      <c r="E108" s="154"/>
      <c r="F108" s="154"/>
      <c r="G108" s="154"/>
      <c r="H108" s="154"/>
      <c r="I108" s="154"/>
      <c r="J108" s="154"/>
      <c r="K108" s="154"/>
      <c r="L108" s="154"/>
      <c r="M108" s="154"/>
      <c r="N108" s="154"/>
      <c r="O108" s="154"/>
      <c r="P108" s="56"/>
      <c r="Q108" s="56"/>
    </row>
    <row r="109" spans="1:17" ht="12.75" x14ac:dyDescent="0.2">
      <c r="A109" s="149" t="s">
        <v>168</v>
      </c>
      <c r="B109" s="154">
        <f t="shared" ref="B109:O109" si="47">B199</f>
        <v>0</v>
      </c>
      <c r="C109" s="154">
        <f t="shared" si="47"/>
        <v>0</v>
      </c>
      <c r="D109" s="154">
        <f t="shared" si="47"/>
        <v>0</v>
      </c>
      <c r="E109" s="154">
        <f t="shared" si="47"/>
        <v>0</v>
      </c>
      <c r="F109" s="154">
        <f t="shared" si="47"/>
        <v>0</v>
      </c>
      <c r="G109" s="154">
        <f t="shared" si="47"/>
        <v>0</v>
      </c>
      <c r="H109" s="154">
        <f t="shared" si="47"/>
        <v>0</v>
      </c>
      <c r="I109" s="154">
        <f t="shared" si="47"/>
        <v>0</v>
      </c>
      <c r="J109" s="154">
        <f t="shared" si="47"/>
        <v>0</v>
      </c>
      <c r="K109" s="154">
        <f t="shared" si="47"/>
        <v>0</v>
      </c>
      <c r="L109" s="154">
        <f t="shared" si="47"/>
        <v>0</v>
      </c>
      <c r="M109" s="154">
        <f t="shared" si="47"/>
        <v>0</v>
      </c>
      <c r="N109" s="154">
        <f t="shared" si="47"/>
        <v>0</v>
      </c>
      <c r="O109" s="154">
        <f t="shared" si="47"/>
        <v>0</v>
      </c>
      <c r="P109" s="56"/>
      <c r="Q109" s="56"/>
    </row>
    <row r="110" spans="1:17" ht="12.75" x14ac:dyDescent="0.2">
      <c r="A110" s="169" t="s">
        <v>169</v>
      </c>
      <c r="B110" s="162">
        <f t="shared" ref="B110:O110" si="48">B310</f>
        <v>0</v>
      </c>
      <c r="C110" s="162">
        <f t="shared" si="48"/>
        <v>0</v>
      </c>
      <c r="D110" s="162">
        <f t="shared" si="48"/>
        <v>0</v>
      </c>
      <c r="E110" s="162">
        <f t="shared" si="48"/>
        <v>0</v>
      </c>
      <c r="F110" s="162">
        <f t="shared" si="48"/>
        <v>0</v>
      </c>
      <c r="G110" s="162">
        <f t="shared" si="48"/>
        <v>0</v>
      </c>
      <c r="H110" s="162">
        <f t="shared" si="48"/>
        <v>0</v>
      </c>
      <c r="I110" s="162">
        <f t="shared" si="48"/>
        <v>0</v>
      </c>
      <c r="J110" s="162">
        <f t="shared" si="48"/>
        <v>0</v>
      </c>
      <c r="K110" s="162">
        <f t="shared" si="48"/>
        <v>0</v>
      </c>
      <c r="L110" s="162">
        <f t="shared" si="48"/>
        <v>0</v>
      </c>
      <c r="M110" s="162">
        <f t="shared" si="48"/>
        <v>0</v>
      </c>
      <c r="N110" s="162">
        <f t="shared" si="48"/>
        <v>0</v>
      </c>
      <c r="O110" s="162">
        <f t="shared" si="48"/>
        <v>0</v>
      </c>
      <c r="P110" s="56"/>
      <c r="Q110" s="56"/>
    </row>
    <row r="111" spans="1:17" s="471" customFormat="1" ht="12.75" x14ac:dyDescent="0.2">
      <c r="A111" s="383" t="s">
        <v>170</v>
      </c>
      <c r="B111" s="381">
        <f t="shared" ref="B111:O111" si="49">SUM(B109:B110)</f>
        <v>0</v>
      </c>
      <c r="C111" s="381">
        <f t="shared" si="49"/>
        <v>0</v>
      </c>
      <c r="D111" s="381">
        <f t="shared" si="49"/>
        <v>0</v>
      </c>
      <c r="E111" s="381">
        <f t="shared" si="49"/>
        <v>0</v>
      </c>
      <c r="F111" s="381">
        <f t="shared" si="49"/>
        <v>0</v>
      </c>
      <c r="G111" s="381">
        <f t="shared" si="49"/>
        <v>0</v>
      </c>
      <c r="H111" s="381">
        <f t="shared" si="49"/>
        <v>0</v>
      </c>
      <c r="I111" s="381">
        <f t="shared" si="49"/>
        <v>0</v>
      </c>
      <c r="J111" s="381">
        <f t="shared" si="49"/>
        <v>0</v>
      </c>
      <c r="K111" s="381">
        <f t="shared" si="49"/>
        <v>0</v>
      </c>
      <c r="L111" s="381">
        <f t="shared" si="49"/>
        <v>0</v>
      </c>
      <c r="M111" s="381">
        <f t="shared" si="49"/>
        <v>0</v>
      </c>
      <c r="N111" s="381">
        <f t="shared" si="49"/>
        <v>0</v>
      </c>
      <c r="O111" s="381">
        <f t="shared" si="49"/>
        <v>0</v>
      </c>
      <c r="P111" s="382"/>
      <c r="Q111" s="382"/>
    </row>
    <row r="112" spans="1:17" ht="12.75" x14ac:dyDescent="0.2">
      <c r="A112" s="169" t="s">
        <v>171</v>
      </c>
      <c r="B112" s="162">
        <f t="shared" ref="B112:O112" si="50">B255</f>
        <v>155.19611232311317</v>
      </c>
      <c r="C112" s="162">
        <f t="shared" si="50"/>
        <v>158.85060451061318</v>
      </c>
      <c r="D112" s="162">
        <f t="shared" si="50"/>
        <v>156.92533107311317</v>
      </c>
      <c r="E112" s="162">
        <f t="shared" si="50"/>
        <v>156.11601076061316</v>
      </c>
      <c r="F112" s="162">
        <f t="shared" si="50"/>
        <v>155.08349982311319</v>
      </c>
      <c r="G112" s="162">
        <f t="shared" si="50"/>
        <v>154.09562701061316</v>
      </c>
      <c r="H112" s="162">
        <f t="shared" si="50"/>
        <v>153.09882657311317</v>
      </c>
      <c r="I112" s="162">
        <f t="shared" si="50"/>
        <v>152.10381166061316</v>
      </c>
      <c r="J112" s="162">
        <f t="shared" si="50"/>
        <v>151.10843964311317</v>
      </c>
      <c r="K112" s="162">
        <f t="shared" si="50"/>
        <v>150.11313904661318</v>
      </c>
      <c r="L112" s="162">
        <f t="shared" si="50"/>
        <v>149.11782416591319</v>
      </c>
      <c r="M112" s="162">
        <f t="shared" si="50"/>
        <v>148.12251214205315</v>
      </c>
      <c r="N112" s="162">
        <f t="shared" si="50"/>
        <v>147.12719954682518</v>
      </c>
      <c r="O112" s="162">
        <f t="shared" si="50"/>
        <v>146.13188706587076</v>
      </c>
      <c r="P112" s="56"/>
      <c r="Q112" s="56"/>
    </row>
    <row r="113" spans="1:17" ht="12.75" x14ac:dyDescent="0.2">
      <c r="A113" s="148" t="s">
        <v>172</v>
      </c>
      <c r="B113" s="154">
        <f>B106-B111-B112</f>
        <v>-368.82296242138352</v>
      </c>
      <c r="C113" s="154">
        <f t="shared" ref="C113:O113" si="51">C106-C111-C112</f>
        <v>-71.982848034591512</v>
      </c>
      <c r="D113" s="154">
        <f t="shared" si="51"/>
        <v>-88.299223034591137</v>
      </c>
      <c r="E113" s="154">
        <f t="shared" si="51"/>
        <v>-18.191948034591235</v>
      </c>
      <c r="F113" s="154">
        <f t="shared" si="51"/>
        <v>582.63059696540836</v>
      </c>
      <c r="G113" s="154">
        <f t="shared" si="51"/>
        <v>953.3100879654088</v>
      </c>
      <c r="H113" s="154">
        <f t="shared" si="51"/>
        <v>959.61818976540849</v>
      </c>
      <c r="I113" s="154">
        <f t="shared" si="51"/>
        <v>966.00056940540901</v>
      </c>
      <c r="J113" s="154">
        <f t="shared" si="51"/>
        <v>972.36809347740859</v>
      </c>
      <c r="K113" s="154">
        <f t="shared" si="51"/>
        <v>978.73858866300861</v>
      </c>
      <c r="L113" s="154">
        <f t="shared" si="51"/>
        <v>985.10848962588852</v>
      </c>
      <c r="M113" s="154">
        <f t="shared" si="51"/>
        <v>991.47850943331287</v>
      </c>
      <c r="N113" s="154">
        <f t="shared" si="51"/>
        <v>997.84850547182793</v>
      </c>
      <c r="O113" s="154">
        <f t="shared" si="51"/>
        <v>1004.218506264125</v>
      </c>
      <c r="P113" s="56"/>
      <c r="Q113" s="56"/>
    </row>
    <row r="114" spans="1:17" ht="3.75" customHeight="1" x14ac:dyDescent="0.2">
      <c r="A114" s="145"/>
      <c r="B114" s="154"/>
      <c r="C114" s="154"/>
      <c r="D114" s="154"/>
      <c r="E114" s="154"/>
      <c r="F114" s="154"/>
      <c r="G114" s="154"/>
      <c r="H114" s="154"/>
      <c r="I114" s="154"/>
      <c r="J114" s="154"/>
      <c r="K114" s="154"/>
      <c r="L114" s="154"/>
      <c r="M114" s="154"/>
      <c r="N114" s="154"/>
      <c r="O114" s="154"/>
      <c r="P114" s="56"/>
      <c r="Q114" s="56"/>
    </row>
    <row r="115" spans="1:17" ht="12.75" x14ac:dyDescent="0.2">
      <c r="A115" s="148" t="s">
        <v>173</v>
      </c>
      <c r="B115" s="154"/>
      <c r="C115" s="154"/>
      <c r="D115" s="154"/>
      <c r="E115" s="154"/>
      <c r="F115" s="154"/>
      <c r="G115" s="154"/>
      <c r="H115" s="154"/>
      <c r="I115" s="154"/>
      <c r="J115" s="154"/>
      <c r="K115" s="154"/>
      <c r="L115" s="154"/>
      <c r="M115" s="154"/>
      <c r="N115" s="154"/>
      <c r="O115" s="154"/>
      <c r="P115" s="56"/>
      <c r="Q115" s="56"/>
    </row>
    <row r="116" spans="1:17" ht="13.5" customHeight="1" x14ac:dyDescent="0.2">
      <c r="A116" s="158" t="s">
        <v>10</v>
      </c>
      <c r="B116" s="154">
        <f t="shared" ref="B116:O116" si="52">B333</f>
        <v>0</v>
      </c>
      <c r="C116" s="154">
        <f t="shared" si="52"/>
        <v>0</v>
      </c>
      <c r="D116" s="154">
        <f t="shared" si="52"/>
        <v>0</v>
      </c>
      <c r="E116" s="154">
        <f t="shared" si="52"/>
        <v>0</v>
      </c>
      <c r="F116" s="154">
        <f t="shared" si="52"/>
        <v>0</v>
      </c>
      <c r="G116" s="154">
        <f t="shared" si="52"/>
        <v>0</v>
      </c>
      <c r="H116" s="154">
        <f t="shared" si="52"/>
        <v>0</v>
      </c>
      <c r="I116" s="154">
        <f t="shared" si="52"/>
        <v>0</v>
      </c>
      <c r="J116" s="154">
        <f t="shared" si="52"/>
        <v>0</v>
      </c>
      <c r="K116" s="154">
        <f t="shared" si="52"/>
        <v>0</v>
      </c>
      <c r="L116" s="154">
        <f t="shared" si="52"/>
        <v>0</v>
      </c>
      <c r="M116" s="154">
        <f t="shared" si="52"/>
        <v>0</v>
      </c>
      <c r="N116" s="154">
        <f t="shared" si="52"/>
        <v>0</v>
      </c>
      <c r="O116" s="154">
        <f t="shared" si="52"/>
        <v>0</v>
      </c>
      <c r="P116" s="56"/>
      <c r="Q116" s="56"/>
    </row>
    <row r="117" spans="1:17" ht="12.75" x14ac:dyDescent="0.2">
      <c r="A117" s="149" t="str">
        <f>'Projects &amp; Financing'!B43</f>
        <v>Loan1</v>
      </c>
      <c r="B117" s="154">
        <f t="shared" ref="B117:O117" si="53">B216</f>
        <v>0</v>
      </c>
      <c r="C117" s="154">
        <f t="shared" si="53"/>
        <v>0</v>
      </c>
      <c r="D117" s="154">
        <f t="shared" si="53"/>
        <v>0</v>
      </c>
      <c r="E117" s="154">
        <f t="shared" si="53"/>
        <v>0</v>
      </c>
      <c r="F117" s="154">
        <f t="shared" si="53"/>
        <v>0</v>
      </c>
      <c r="G117" s="154">
        <f t="shared" si="53"/>
        <v>0</v>
      </c>
      <c r="H117" s="154">
        <f t="shared" si="53"/>
        <v>0</v>
      </c>
      <c r="I117" s="154">
        <f t="shared" si="53"/>
        <v>0</v>
      </c>
      <c r="J117" s="154">
        <f t="shared" si="53"/>
        <v>0</v>
      </c>
      <c r="K117" s="154">
        <f t="shared" si="53"/>
        <v>0</v>
      </c>
      <c r="L117" s="154">
        <f t="shared" si="53"/>
        <v>0</v>
      </c>
      <c r="M117" s="154">
        <f t="shared" si="53"/>
        <v>0</v>
      </c>
      <c r="N117" s="154">
        <f t="shared" si="53"/>
        <v>0</v>
      </c>
      <c r="O117" s="154">
        <f t="shared" si="53"/>
        <v>0</v>
      </c>
      <c r="P117" s="56"/>
      <c r="Q117" s="56"/>
    </row>
    <row r="118" spans="1:17" ht="12.75" x14ac:dyDescent="0.2">
      <c r="A118" s="149" t="str">
        <f>'Projects &amp; Financing'!C43</f>
        <v>Loan2</v>
      </c>
      <c r="B118" s="154">
        <f t="shared" ref="B118:O118" si="54">B224</f>
        <v>0</v>
      </c>
      <c r="C118" s="154">
        <f t="shared" si="54"/>
        <v>0</v>
      </c>
      <c r="D118" s="154">
        <f t="shared" si="54"/>
        <v>0</v>
      </c>
      <c r="E118" s="154">
        <f t="shared" si="54"/>
        <v>0</v>
      </c>
      <c r="F118" s="154">
        <f t="shared" si="54"/>
        <v>0</v>
      </c>
      <c r="G118" s="154">
        <f t="shared" si="54"/>
        <v>0</v>
      </c>
      <c r="H118" s="154">
        <f t="shared" si="54"/>
        <v>0</v>
      </c>
      <c r="I118" s="154">
        <f t="shared" si="54"/>
        <v>0</v>
      </c>
      <c r="J118" s="154">
        <f t="shared" si="54"/>
        <v>0</v>
      </c>
      <c r="K118" s="154">
        <f t="shared" si="54"/>
        <v>0</v>
      </c>
      <c r="L118" s="154">
        <f t="shared" si="54"/>
        <v>0</v>
      </c>
      <c r="M118" s="154">
        <f t="shared" si="54"/>
        <v>0</v>
      </c>
      <c r="N118" s="154">
        <f t="shared" si="54"/>
        <v>0</v>
      </c>
      <c r="O118" s="154">
        <f t="shared" si="54"/>
        <v>0</v>
      </c>
      <c r="P118" s="56"/>
      <c r="Q118" s="56"/>
    </row>
    <row r="119" spans="1:17" ht="12.75" x14ac:dyDescent="0.2">
      <c r="A119" s="149" t="str">
        <f>'Projects &amp; Financing'!D43</f>
        <v>Loan3</v>
      </c>
      <c r="B119" s="154">
        <f t="shared" ref="B119:O119" si="55">B232</f>
        <v>0</v>
      </c>
      <c r="C119" s="154">
        <f t="shared" si="55"/>
        <v>0</v>
      </c>
      <c r="D119" s="154">
        <f t="shared" si="55"/>
        <v>0</v>
      </c>
      <c r="E119" s="154">
        <f t="shared" si="55"/>
        <v>0</v>
      </c>
      <c r="F119" s="154">
        <f t="shared" si="55"/>
        <v>0</v>
      </c>
      <c r="G119" s="154">
        <f t="shared" si="55"/>
        <v>0</v>
      </c>
      <c r="H119" s="154">
        <f t="shared" si="55"/>
        <v>0</v>
      </c>
      <c r="I119" s="154">
        <f t="shared" si="55"/>
        <v>0</v>
      </c>
      <c r="J119" s="154">
        <f t="shared" si="55"/>
        <v>0</v>
      </c>
      <c r="K119" s="154">
        <f t="shared" si="55"/>
        <v>0</v>
      </c>
      <c r="L119" s="154">
        <f t="shared" si="55"/>
        <v>0</v>
      </c>
      <c r="M119" s="154">
        <f t="shared" si="55"/>
        <v>0</v>
      </c>
      <c r="N119" s="154">
        <f t="shared" si="55"/>
        <v>0</v>
      </c>
      <c r="O119" s="154">
        <f t="shared" si="55"/>
        <v>0</v>
      </c>
      <c r="P119" s="56"/>
      <c r="Q119" s="56"/>
    </row>
    <row r="120" spans="1:17" ht="12" customHeight="1" x14ac:dyDescent="0.2">
      <c r="A120" s="156" t="s">
        <v>174</v>
      </c>
      <c r="B120" s="247">
        <f>'Output Statements'!B208</f>
        <v>0</v>
      </c>
      <c r="C120" s="247">
        <f>'Output Statements'!C208</f>
        <v>0</v>
      </c>
      <c r="D120" s="247">
        <f>'Output Statements'!D208</f>
        <v>0</v>
      </c>
      <c r="E120" s="247">
        <f>'Output Statements'!E208</f>
        <v>0</v>
      </c>
      <c r="F120" s="247">
        <f>'Output Statements'!F208</f>
        <v>0</v>
      </c>
      <c r="G120" s="247">
        <f>'Output Statements'!G208</f>
        <v>0</v>
      </c>
      <c r="H120" s="247">
        <f>'Output Statements'!H208</f>
        <v>0</v>
      </c>
      <c r="I120" s="247">
        <f>'Output Statements'!I208</f>
        <v>0</v>
      </c>
      <c r="J120" s="247">
        <f>'Output Statements'!J208</f>
        <v>0</v>
      </c>
      <c r="K120" s="247">
        <f>'Output Statements'!K208</f>
        <v>0</v>
      </c>
      <c r="L120" s="247">
        <f>'Output Statements'!L208</f>
        <v>0</v>
      </c>
      <c r="M120" s="247">
        <f>'Output Statements'!M208</f>
        <v>0</v>
      </c>
      <c r="N120" s="247">
        <f>'Output Statements'!N208</f>
        <v>0</v>
      </c>
      <c r="O120" s="247">
        <f>'Output Statements'!O208</f>
        <v>0</v>
      </c>
      <c r="P120" s="56"/>
      <c r="Q120" s="56"/>
    </row>
    <row r="121" spans="1:17" ht="3.75" customHeight="1" x14ac:dyDescent="0.2">
      <c r="A121" s="169"/>
      <c r="B121" s="162"/>
      <c r="C121" s="162"/>
      <c r="D121" s="162"/>
      <c r="E121" s="162"/>
      <c r="F121" s="162"/>
      <c r="G121" s="162"/>
      <c r="H121" s="162"/>
      <c r="I121" s="162"/>
      <c r="J121" s="162"/>
      <c r="K121" s="162"/>
      <c r="L121" s="162"/>
      <c r="M121" s="162"/>
      <c r="N121" s="162"/>
      <c r="O121" s="162"/>
      <c r="P121" s="56"/>
      <c r="Q121" s="56"/>
    </row>
    <row r="122" spans="1:17" ht="12.75" x14ac:dyDescent="0.2">
      <c r="A122" s="169" t="s">
        <v>175</v>
      </c>
      <c r="B122" s="162">
        <f>SUM(B116:B120)</f>
        <v>0</v>
      </c>
      <c r="C122" s="162">
        <f t="shared" ref="C122:O122" si="56">SUM(C116:C120)</f>
        <v>0</v>
      </c>
      <c r="D122" s="162">
        <f t="shared" si="56"/>
        <v>0</v>
      </c>
      <c r="E122" s="162">
        <f t="shared" si="56"/>
        <v>0</v>
      </c>
      <c r="F122" s="162">
        <f t="shared" si="56"/>
        <v>0</v>
      </c>
      <c r="G122" s="162">
        <f t="shared" si="56"/>
        <v>0</v>
      </c>
      <c r="H122" s="162">
        <f t="shared" si="56"/>
        <v>0</v>
      </c>
      <c r="I122" s="162">
        <f t="shared" si="56"/>
        <v>0</v>
      </c>
      <c r="J122" s="162">
        <f t="shared" si="56"/>
        <v>0</v>
      </c>
      <c r="K122" s="162">
        <f t="shared" si="56"/>
        <v>0</v>
      </c>
      <c r="L122" s="162">
        <f t="shared" si="56"/>
        <v>0</v>
      </c>
      <c r="M122" s="162">
        <f t="shared" si="56"/>
        <v>0</v>
      </c>
      <c r="N122" s="162">
        <f t="shared" si="56"/>
        <v>0</v>
      </c>
      <c r="O122" s="162">
        <f t="shared" si="56"/>
        <v>0</v>
      </c>
      <c r="P122" s="56"/>
      <c r="Q122" s="56"/>
    </row>
    <row r="123" spans="1:17" ht="13.5" thickBot="1" x14ac:dyDescent="0.25">
      <c r="A123" s="384" t="s">
        <v>176</v>
      </c>
      <c r="B123" s="385">
        <f>+B113+B122</f>
        <v>-368.82296242138352</v>
      </c>
      <c r="C123" s="385">
        <f t="shared" ref="C123:O123" si="57">+C113+C122</f>
        <v>-71.982848034591512</v>
      </c>
      <c r="D123" s="385">
        <f t="shared" si="57"/>
        <v>-88.299223034591137</v>
      </c>
      <c r="E123" s="385">
        <f t="shared" si="57"/>
        <v>-18.191948034591235</v>
      </c>
      <c r="F123" s="385">
        <f t="shared" si="57"/>
        <v>582.63059696540836</v>
      </c>
      <c r="G123" s="385">
        <f t="shared" si="57"/>
        <v>953.3100879654088</v>
      </c>
      <c r="H123" s="385">
        <f t="shared" si="57"/>
        <v>959.61818976540849</v>
      </c>
      <c r="I123" s="385">
        <f t="shared" si="57"/>
        <v>966.00056940540901</v>
      </c>
      <c r="J123" s="385">
        <f t="shared" si="57"/>
        <v>972.36809347740859</v>
      </c>
      <c r="K123" s="385">
        <f t="shared" si="57"/>
        <v>978.73858866300861</v>
      </c>
      <c r="L123" s="385">
        <f t="shared" si="57"/>
        <v>985.10848962588852</v>
      </c>
      <c r="M123" s="385">
        <f t="shared" si="57"/>
        <v>991.47850943331287</v>
      </c>
      <c r="N123" s="385">
        <f t="shared" si="57"/>
        <v>997.84850547182793</v>
      </c>
      <c r="O123" s="385">
        <f t="shared" si="57"/>
        <v>1004.218506264125</v>
      </c>
      <c r="P123" s="56"/>
      <c r="Q123" s="56"/>
    </row>
    <row r="124" spans="1:17" ht="4.5" customHeight="1" thickTop="1" x14ac:dyDescent="0.2">
      <c r="A124" s="148"/>
      <c r="B124" s="154"/>
      <c r="C124" s="154"/>
      <c r="D124" s="154"/>
      <c r="E124" s="154"/>
      <c r="F124" s="154"/>
      <c r="G124" s="154"/>
      <c r="H124" s="154"/>
      <c r="I124" s="154"/>
      <c r="J124" s="154"/>
      <c r="K124" s="154"/>
      <c r="L124" s="154"/>
      <c r="M124" s="154"/>
      <c r="N124" s="154"/>
      <c r="O124" s="154"/>
      <c r="P124" s="56"/>
      <c r="Q124" s="56"/>
    </row>
    <row r="125" spans="1:17" x14ac:dyDescent="0.15">
      <c r="A125" s="171" t="s">
        <v>177</v>
      </c>
      <c r="B125" s="250"/>
      <c r="C125" s="250"/>
      <c r="D125" s="250"/>
      <c r="E125" s="250"/>
      <c r="F125" s="250"/>
      <c r="G125" s="250"/>
      <c r="H125" s="250"/>
      <c r="I125" s="250"/>
      <c r="J125" s="250"/>
      <c r="K125" s="250"/>
      <c r="L125" s="250"/>
      <c r="M125" s="250"/>
      <c r="N125" s="250"/>
      <c r="O125" s="250"/>
      <c r="P125" s="56"/>
      <c r="Q125" s="56"/>
    </row>
    <row r="126" spans="1:17" x14ac:dyDescent="0.15">
      <c r="A126" s="172" t="s">
        <v>178</v>
      </c>
      <c r="B126" s="251">
        <f>IF(B123&gt;=0, B123, 0)</f>
        <v>0</v>
      </c>
      <c r="C126" s="251">
        <f t="shared" ref="C126:O126" si="58">IF(C123&gt;=0, C123, 0)</f>
        <v>0</v>
      </c>
      <c r="D126" s="251">
        <f t="shared" si="58"/>
        <v>0</v>
      </c>
      <c r="E126" s="251">
        <f t="shared" si="58"/>
        <v>0</v>
      </c>
      <c r="F126" s="251">
        <f t="shared" si="58"/>
        <v>582.63059696540836</v>
      </c>
      <c r="G126" s="251">
        <f t="shared" si="58"/>
        <v>953.3100879654088</v>
      </c>
      <c r="H126" s="251">
        <f t="shared" si="58"/>
        <v>959.61818976540849</v>
      </c>
      <c r="I126" s="251">
        <f t="shared" si="58"/>
        <v>966.00056940540901</v>
      </c>
      <c r="J126" s="251">
        <f t="shared" si="58"/>
        <v>972.36809347740859</v>
      </c>
      <c r="K126" s="251">
        <f t="shared" si="58"/>
        <v>978.73858866300861</v>
      </c>
      <c r="L126" s="251">
        <f t="shared" si="58"/>
        <v>985.10848962588852</v>
      </c>
      <c r="M126" s="251">
        <f t="shared" si="58"/>
        <v>991.47850943331287</v>
      </c>
      <c r="N126" s="251">
        <f t="shared" si="58"/>
        <v>997.84850547182793</v>
      </c>
      <c r="O126" s="251">
        <f t="shared" si="58"/>
        <v>1004.218506264125</v>
      </c>
      <c r="P126" s="56"/>
      <c r="Q126" s="56"/>
    </row>
    <row r="127" spans="1:17" ht="3.75" customHeight="1" x14ac:dyDescent="0.15">
      <c r="A127" s="173"/>
      <c r="B127" s="250"/>
      <c r="C127" s="250"/>
      <c r="D127" s="250"/>
      <c r="E127" s="250"/>
      <c r="F127" s="250"/>
      <c r="G127" s="250"/>
      <c r="H127" s="250"/>
      <c r="I127" s="250"/>
      <c r="J127" s="250"/>
      <c r="K127" s="250"/>
      <c r="L127" s="250"/>
      <c r="M127" s="250"/>
      <c r="N127" s="250"/>
      <c r="O127" s="250"/>
      <c r="P127" s="56"/>
      <c r="Q127" s="56"/>
    </row>
    <row r="128" spans="1:17" x14ac:dyDescent="0.15">
      <c r="A128" s="171" t="s">
        <v>179</v>
      </c>
      <c r="B128" s="250"/>
      <c r="C128" s="250"/>
      <c r="D128" s="250"/>
      <c r="E128" s="250"/>
      <c r="F128" s="250"/>
      <c r="G128" s="250"/>
      <c r="H128" s="250"/>
      <c r="I128" s="250"/>
      <c r="J128" s="250"/>
      <c r="K128" s="250"/>
      <c r="L128" s="250"/>
      <c r="M128" s="250"/>
      <c r="N128" s="250"/>
      <c r="O128" s="250"/>
      <c r="P128" s="56"/>
      <c r="Q128" s="56"/>
    </row>
    <row r="129" spans="1:17" x14ac:dyDescent="0.15">
      <c r="A129" s="174" t="s">
        <v>180</v>
      </c>
      <c r="B129" s="250">
        <f t="shared" ref="B129:O129" si="59">IF(AND(B123&lt;=0,B270&gt;=ABS(B123)),ABS(B123),IF(AND(B123&lt;=0,B270&lt;ABS(B123)),B270,0))</f>
        <v>368.82296242138352</v>
      </c>
      <c r="C129" s="250">
        <f t="shared" si="59"/>
        <v>31.177037578616478</v>
      </c>
      <c r="D129" s="250">
        <f t="shared" si="59"/>
        <v>0</v>
      </c>
      <c r="E129" s="250">
        <f t="shared" si="59"/>
        <v>0</v>
      </c>
      <c r="F129" s="250">
        <f t="shared" si="59"/>
        <v>0</v>
      </c>
      <c r="G129" s="250">
        <f t="shared" si="59"/>
        <v>0</v>
      </c>
      <c r="H129" s="250">
        <f t="shared" si="59"/>
        <v>0</v>
      </c>
      <c r="I129" s="250">
        <f t="shared" si="59"/>
        <v>0</v>
      </c>
      <c r="J129" s="250">
        <f t="shared" si="59"/>
        <v>0</v>
      </c>
      <c r="K129" s="250">
        <f t="shared" si="59"/>
        <v>0</v>
      </c>
      <c r="L129" s="250">
        <f t="shared" si="59"/>
        <v>0</v>
      </c>
      <c r="M129" s="250">
        <f t="shared" si="59"/>
        <v>0</v>
      </c>
      <c r="N129" s="250">
        <f t="shared" si="59"/>
        <v>0</v>
      </c>
      <c r="O129" s="250">
        <f t="shared" si="59"/>
        <v>0</v>
      </c>
      <c r="P129" s="56"/>
      <c r="Q129" s="56"/>
    </row>
    <row r="130" spans="1:17" s="470" customFormat="1" x14ac:dyDescent="0.15">
      <c r="A130" s="389" t="s">
        <v>181</v>
      </c>
      <c r="B130" s="390">
        <f t="shared" ref="B130:O130" si="60">IF(B123&lt;=0,ABS(B123)-B129,0)</f>
        <v>0</v>
      </c>
      <c r="C130" s="390">
        <f t="shared" si="60"/>
        <v>40.805810455975035</v>
      </c>
      <c r="D130" s="390">
        <f t="shared" si="60"/>
        <v>88.299223034591137</v>
      </c>
      <c r="E130" s="390">
        <f t="shared" si="60"/>
        <v>18.191948034591235</v>
      </c>
      <c r="F130" s="390">
        <f t="shared" si="60"/>
        <v>0</v>
      </c>
      <c r="G130" s="390">
        <f t="shared" si="60"/>
        <v>0</v>
      </c>
      <c r="H130" s="390">
        <f t="shared" si="60"/>
        <v>0</v>
      </c>
      <c r="I130" s="390">
        <f t="shared" si="60"/>
        <v>0</v>
      </c>
      <c r="J130" s="390">
        <f t="shared" si="60"/>
        <v>0</v>
      </c>
      <c r="K130" s="390">
        <f t="shared" si="60"/>
        <v>0</v>
      </c>
      <c r="L130" s="390">
        <f t="shared" si="60"/>
        <v>0</v>
      </c>
      <c r="M130" s="390">
        <f t="shared" si="60"/>
        <v>0</v>
      </c>
      <c r="N130" s="390">
        <f t="shared" si="60"/>
        <v>0</v>
      </c>
      <c r="O130" s="390">
        <f t="shared" si="60"/>
        <v>0</v>
      </c>
      <c r="P130" s="388"/>
      <c r="Q130" s="388"/>
    </row>
    <row r="131" spans="1:17" x14ac:dyDescent="0.15">
      <c r="A131" s="281" t="s">
        <v>182</v>
      </c>
      <c r="B131" s="252">
        <f t="shared" ref="B131:O131" si="61">B129+B130</f>
        <v>368.82296242138352</v>
      </c>
      <c r="C131" s="252">
        <f t="shared" si="61"/>
        <v>71.982848034591512</v>
      </c>
      <c r="D131" s="252">
        <f t="shared" si="61"/>
        <v>88.299223034591137</v>
      </c>
      <c r="E131" s="252">
        <f t="shared" si="61"/>
        <v>18.191948034591235</v>
      </c>
      <c r="F131" s="252">
        <f t="shared" si="61"/>
        <v>0</v>
      </c>
      <c r="G131" s="252">
        <f t="shared" si="61"/>
        <v>0</v>
      </c>
      <c r="H131" s="252">
        <f t="shared" si="61"/>
        <v>0</v>
      </c>
      <c r="I131" s="252">
        <f t="shared" si="61"/>
        <v>0</v>
      </c>
      <c r="J131" s="252">
        <f t="shared" si="61"/>
        <v>0</v>
      </c>
      <c r="K131" s="252">
        <f t="shared" si="61"/>
        <v>0</v>
      </c>
      <c r="L131" s="252">
        <f t="shared" si="61"/>
        <v>0</v>
      </c>
      <c r="M131" s="252">
        <f t="shared" si="61"/>
        <v>0</v>
      </c>
      <c r="N131" s="252">
        <f t="shared" si="61"/>
        <v>0</v>
      </c>
      <c r="O131" s="252">
        <f t="shared" si="61"/>
        <v>0</v>
      </c>
      <c r="P131" s="56"/>
      <c r="Q131" s="56"/>
    </row>
    <row r="132" spans="1:17" x14ac:dyDescent="0.15">
      <c r="A132" s="282"/>
      <c r="B132" s="283"/>
      <c r="C132" s="283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56"/>
      <c r="Q132" s="56"/>
    </row>
    <row r="133" spans="1:17" x14ac:dyDescent="0.15">
      <c r="A133" s="282"/>
      <c r="B133" s="283"/>
      <c r="C133" s="283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56"/>
      <c r="Q133" s="56"/>
    </row>
    <row r="134" spans="1:17" ht="20.25" x14ac:dyDescent="0.3">
      <c r="A134" s="72" t="str">
        <f>Assumptions!B3</f>
        <v>simulation water company</v>
      </c>
      <c r="B134" s="55"/>
      <c r="C134" s="55"/>
      <c r="D134" s="143"/>
      <c r="E134" s="147"/>
      <c r="F134" s="145"/>
      <c r="G134" s="145"/>
      <c r="H134" s="145"/>
      <c r="I134" s="145"/>
      <c r="J134" s="145"/>
      <c r="K134" s="145"/>
      <c r="L134" s="145"/>
      <c r="M134" s="145"/>
      <c r="N134" s="145"/>
      <c r="O134" s="145"/>
      <c r="P134" s="56"/>
      <c r="Q134" s="56"/>
    </row>
    <row r="135" spans="1:17" ht="6" customHeight="1" x14ac:dyDescent="0.2">
      <c r="A135" s="153"/>
      <c r="B135" s="153"/>
      <c r="C135" s="145"/>
      <c r="D135" s="153"/>
      <c r="E135" s="153"/>
      <c r="F135" s="153"/>
      <c r="G135" s="153"/>
      <c r="H135" s="153"/>
      <c r="I135" s="153"/>
      <c r="J135" s="153"/>
      <c r="K135" s="145"/>
      <c r="L135" s="153"/>
      <c r="M135" s="153"/>
      <c r="N135" s="153"/>
      <c r="O135" s="153"/>
      <c r="P135" s="56"/>
      <c r="Q135" s="56"/>
    </row>
    <row r="136" spans="1:17" ht="18" x14ac:dyDescent="0.25">
      <c r="A136" s="61" t="s">
        <v>183</v>
      </c>
      <c r="B136" s="163"/>
      <c r="C136" s="143"/>
      <c r="D136" s="163"/>
      <c r="E136" s="147"/>
      <c r="F136" s="153"/>
      <c r="G136" s="153"/>
      <c r="H136" s="153"/>
      <c r="I136" s="153"/>
      <c r="J136" s="153"/>
      <c r="K136" s="153"/>
      <c r="L136" s="153"/>
      <c r="M136" s="153"/>
      <c r="N136" s="153"/>
      <c r="O136" s="153"/>
      <c r="P136" s="56"/>
      <c r="Q136" s="56"/>
    </row>
    <row r="137" spans="1:17" ht="12.75" x14ac:dyDescent="0.2">
      <c r="A137" s="153" t="str">
        <f>A91</f>
        <v>Million FMs</v>
      </c>
      <c r="B137" s="145"/>
      <c r="C137" s="145"/>
      <c r="D137" s="153"/>
      <c r="E137" s="146"/>
      <c r="F137" s="153"/>
      <c r="G137" s="147"/>
      <c r="H137" s="153"/>
      <c r="I137" s="153"/>
      <c r="J137" s="153"/>
      <c r="K137" s="175" t="str">
        <f>Assumptions!B9</f>
        <v>15,000 FMs = 1US$</v>
      </c>
      <c r="L137" s="451"/>
      <c r="M137" s="153"/>
      <c r="N137" s="153"/>
      <c r="O137" s="153"/>
      <c r="P137" s="56"/>
      <c r="Q137" s="56"/>
    </row>
    <row r="138" spans="1:17" ht="12.75" x14ac:dyDescent="0.2">
      <c r="A138" s="78"/>
      <c r="B138" s="76">
        <f>Assumptions!B4+1</f>
        <v>2018</v>
      </c>
      <c r="C138" s="76">
        <f>B138+1</f>
        <v>2019</v>
      </c>
      <c r="D138" s="76">
        <f t="shared" ref="D138:O138" si="62">C138+1</f>
        <v>2020</v>
      </c>
      <c r="E138" s="76">
        <f t="shared" si="62"/>
        <v>2021</v>
      </c>
      <c r="F138" s="76">
        <f t="shared" si="62"/>
        <v>2022</v>
      </c>
      <c r="G138" s="76">
        <f t="shared" si="62"/>
        <v>2023</v>
      </c>
      <c r="H138" s="76">
        <f t="shared" si="62"/>
        <v>2024</v>
      </c>
      <c r="I138" s="76">
        <f t="shared" si="62"/>
        <v>2025</v>
      </c>
      <c r="J138" s="76">
        <f t="shared" si="62"/>
        <v>2026</v>
      </c>
      <c r="K138" s="76">
        <f t="shared" si="62"/>
        <v>2027</v>
      </c>
      <c r="L138" s="76">
        <f t="shared" si="62"/>
        <v>2028</v>
      </c>
      <c r="M138" s="76">
        <f t="shared" si="62"/>
        <v>2029</v>
      </c>
      <c r="N138" s="76">
        <f t="shared" si="62"/>
        <v>2030</v>
      </c>
      <c r="O138" s="76">
        <f t="shared" si="62"/>
        <v>2031</v>
      </c>
      <c r="P138" s="56"/>
      <c r="Q138" s="56"/>
    </row>
    <row r="139" spans="1:17" ht="12.75" x14ac:dyDescent="0.2">
      <c r="A139" s="176" t="s">
        <v>2</v>
      </c>
      <c r="B139" s="145"/>
      <c r="C139" s="145"/>
      <c r="D139" s="145"/>
      <c r="E139" s="145"/>
      <c r="F139" s="145"/>
      <c r="G139" s="145"/>
      <c r="H139" s="145"/>
      <c r="I139" s="145"/>
      <c r="J139" s="145"/>
      <c r="K139" s="145"/>
      <c r="L139" s="145"/>
      <c r="M139" s="145"/>
      <c r="N139" s="145"/>
      <c r="O139" s="145"/>
      <c r="P139" s="56"/>
      <c r="Q139" s="56"/>
    </row>
    <row r="140" spans="1:17" ht="12.75" x14ac:dyDescent="0.2">
      <c r="A140" s="148" t="s">
        <v>184</v>
      </c>
      <c r="B140" s="145"/>
      <c r="C140" s="145"/>
      <c r="D140" s="145"/>
      <c r="E140" s="145"/>
      <c r="F140" s="145"/>
      <c r="G140" s="145"/>
      <c r="H140" s="145"/>
      <c r="I140" s="145"/>
      <c r="J140" s="145"/>
      <c r="K140" s="145"/>
      <c r="L140" s="145"/>
      <c r="M140" s="145"/>
      <c r="N140" s="145"/>
      <c r="O140" s="145"/>
      <c r="P140" s="56"/>
      <c r="Q140" s="56"/>
    </row>
    <row r="141" spans="1:17" ht="12.75" x14ac:dyDescent="0.2">
      <c r="A141" s="158" t="s">
        <v>185</v>
      </c>
      <c r="B141" s="154">
        <f t="shared" ref="B141:O141" si="63">B282</f>
        <v>0</v>
      </c>
      <c r="C141" s="154">
        <f t="shared" si="63"/>
        <v>0</v>
      </c>
      <c r="D141" s="154">
        <f t="shared" si="63"/>
        <v>0</v>
      </c>
      <c r="E141" s="154">
        <f t="shared" si="63"/>
        <v>0</v>
      </c>
      <c r="F141" s="154">
        <f t="shared" si="63"/>
        <v>0</v>
      </c>
      <c r="G141" s="154">
        <f t="shared" si="63"/>
        <v>0</v>
      </c>
      <c r="H141" s="154">
        <f t="shared" si="63"/>
        <v>0</v>
      </c>
      <c r="I141" s="154">
        <f t="shared" si="63"/>
        <v>0</v>
      </c>
      <c r="J141" s="154">
        <f t="shared" si="63"/>
        <v>0</v>
      </c>
      <c r="K141" s="154">
        <f t="shared" si="63"/>
        <v>0</v>
      </c>
      <c r="L141" s="154">
        <f t="shared" si="63"/>
        <v>0</v>
      </c>
      <c r="M141" s="154">
        <f t="shared" si="63"/>
        <v>0</v>
      </c>
      <c r="N141" s="154">
        <f t="shared" si="63"/>
        <v>0</v>
      </c>
      <c r="O141" s="154">
        <f t="shared" si="63"/>
        <v>0</v>
      </c>
      <c r="P141" s="56"/>
      <c r="Q141" s="56"/>
    </row>
    <row r="142" spans="1:17" ht="12.75" x14ac:dyDescent="0.2">
      <c r="A142" s="149" t="s">
        <v>186</v>
      </c>
      <c r="B142" s="154">
        <f t="shared" ref="B142:O142" si="64">B288+B311</f>
        <v>9100</v>
      </c>
      <c r="C142" s="154">
        <f t="shared" si="64"/>
        <v>9100</v>
      </c>
      <c r="D142" s="154">
        <f t="shared" si="64"/>
        <v>9100</v>
      </c>
      <c r="E142" s="154">
        <f t="shared" si="64"/>
        <v>9100</v>
      </c>
      <c r="F142" s="154">
        <f t="shared" si="64"/>
        <v>9100</v>
      </c>
      <c r="G142" s="154">
        <f t="shared" si="64"/>
        <v>9100</v>
      </c>
      <c r="H142" s="154">
        <f t="shared" si="64"/>
        <v>9100</v>
      </c>
      <c r="I142" s="154">
        <f t="shared" si="64"/>
        <v>9100</v>
      </c>
      <c r="J142" s="154">
        <f t="shared" si="64"/>
        <v>9100</v>
      </c>
      <c r="K142" s="154">
        <f t="shared" si="64"/>
        <v>9100</v>
      </c>
      <c r="L142" s="154">
        <f t="shared" si="64"/>
        <v>9100</v>
      </c>
      <c r="M142" s="154">
        <f t="shared" si="64"/>
        <v>9100</v>
      </c>
      <c r="N142" s="154">
        <f t="shared" si="64"/>
        <v>9100</v>
      </c>
      <c r="O142" s="154">
        <f t="shared" si="64"/>
        <v>9100</v>
      </c>
      <c r="P142" s="56"/>
      <c r="Q142" s="56"/>
    </row>
    <row r="143" spans="1:17" ht="12.75" x14ac:dyDescent="0.2">
      <c r="A143" s="169" t="s">
        <v>187</v>
      </c>
      <c r="B143" s="162">
        <f t="shared" ref="B143:O143" si="65">B306</f>
        <v>318.50000000000006</v>
      </c>
      <c r="C143" s="162">
        <f t="shared" si="65"/>
        <v>637.00000000000011</v>
      </c>
      <c r="D143" s="162">
        <f t="shared" si="65"/>
        <v>955.50000000000023</v>
      </c>
      <c r="E143" s="162">
        <f t="shared" si="65"/>
        <v>1274.0000000000002</v>
      </c>
      <c r="F143" s="162">
        <f t="shared" si="65"/>
        <v>1592.5000000000002</v>
      </c>
      <c r="G143" s="162">
        <f t="shared" si="65"/>
        <v>1911.0000000000002</v>
      </c>
      <c r="H143" s="162">
        <f t="shared" si="65"/>
        <v>2229.5000000000005</v>
      </c>
      <c r="I143" s="162">
        <f t="shared" si="65"/>
        <v>2548.0000000000005</v>
      </c>
      <c r="J143" s="162">
        <f t="shared" si="65"/>
        <v>2866.5000000000005</v>
      </c>
      <c r="K143" s="162">
        <f t="shared" si="65"/>
        <v>3185.0000000000005</v>
      </c>
      <c r="L143" s="162">
        <f t="shared" si="65"/>
        <v>3503.5000000000005</v>
      </c>
      <c r="M143" s="162">
        <f t="shared" si="65"/>
        <v>3822.0000000000005</v>
      </c>
      <c r="N143" s="162">
        <f t="shared" si="65"/>
        <v>4140.5000000000009</v>
      </c>
      <c r="O143" s="162">
        <f t="shared" si="65"/>
        <v>4459.0000000000009</v>
      </c>
      <c r="P143" s="56"/>
      <c r="Q143" s="56"/>
    </row>
    <row r="144" spans="1:17" ht="12.75" x14ac:dyDescent="0.2">
      <c r="A144" s="149" t="s">
        <v>188</v>
      </c>
      <c r="B144" s="154">
        <f>B142-B143+B141</f>
        <v>8781.5</v>
      </c>
      <c r="C144" s="154">
        <f t="shared" ref="C144:O144" si="66">C142-C143+C141</f>
        <v>8463</v>
      </c>
      <c r="D144" s="154">
        <f t="shared" si="66"/>
        <v>8144.5</v>
      </c>
      <c r="E144" s="154">
        <f t="shared" si="66"/>
        <v>7826</v>
      </c>
      <c r="F144" s="154">
        <f t="shared" si="66"/>
        <v>7507.5</v>
      </c>
      <c r="G144" s="154">
        <f t="shared" si="66"/>
        <v>7189</v>
      </c>
      <c r="H144" s="154">
        <f t="shared" si="66"/>
        <v>6870.5</v>
      </c>
      <c r="I144" s="154">
        <f t="shared" si="66"/>
        <v>6552</v>
      </c>
      <c r="J144" s="154">
        <f t="shared" si="66"/>
        <v>6233.5</v>
      </c>
      <c r="K144" s="154">
        <f t="shared" si="66"/>
        <v>5915</v>
      </c>
      <c r="L144" s="154">
        <f t="shared" si="66"/>
        <v>5596.5</v>
      </c>
      <c r="M144" s="154">
        <f t="shared" si="66"/>
        <v>5278</v>
      </c>
      <c r="N144" s="154">
        <f t="shared" si="66"/>
        <v>4959.4999999999991</v>
      </c>
      <c r="O144" s="154">
        <f t="shared" si="66"/>
        <v>4640.9999999999991</v>
      </c>
      <c r="P144" s="56"/>
      <c r="Q144" s="56"/>
    </row>
    <row r="145" spans="1:17" ht="12.75" x14ac:dyDescent="0.2">
      <c r="A145" s="169" t="s">
        <v>189</v>
      </c>
      <c r="B145" s="162">
        <f t="shared" ref="B145:O145" si="67">B294</f>
        <v>0</v>
      </c>
      <c r="C145" s="162">
        <f t="shared" si="67"/>
        <v>0</v>
      </c>
      <c r="D145" s="162">
        <f t="shared" si="67"/>
        <v>0</v>
      </c>
      <c r="E145" s="162">
        <f t="shared" si="67"/>
        <v>0</v>
      </c>
      <c r="F145" s="162">
        <f t="shared" si="67"/>
        <v>0</v>
      </c>
      <c r="G145" s="162">
        <f t="shared" si="67"/>
        <v>0</v>
      </c>
      <c r="H145" s="162">
        <f t="shared" si="67"/>
        <v>0</v>
      </c>
      <c r="I145" s="162">
        <f t="shared" si="67"/>
        <v>0</v>
      </c>
      <c r="J145" s="162">
        <f t="shared" si="67"/>
        <v>0</v>
      </c>
      <c r="K145" s="162">
        <f t="shared" si="67"/>
        <v>0</v>
      </c>
      <c r="L145" s="162">
        <f t="shared" si="67"/>
        <v>0</v>
      </c>
      <c r="M145" s="162">
        <f t="shared" si="67"/>
        <v>0</v>
      </c>
      <c r="N145" s="162">
        <f t="shared" si="67"/>
        <v>0</v>
      </c>
      <c r="O145" s="162">
        <f t="shared" si="67"/>
        <v>0</v>
      </c>
      <c r="P145" s="56"/>
      <c r="Q145" s="56"/>
    </row>
    <row r="146" spans="1:17" ht="12.75" x14ac:dyDescent="0.2">
      <c r="A146" s="148" t="s">
        <v>190</v>
      </c>
      <c r="B146" s="154">
        <f t="shared" ref="B146:O146" si="68">B144+B145</f>
        <v>8781.5</v>
      </c>
      <c r="C146" s="154">
        <f t="shared" si="68"/>
        <v>8463</v>
      </c>
      <c r="D146" s="154">
        <f t="shared" si="68"/>
        <v>8144.5</v>
      </c>
      <c r="E146" s="154">
        <f t="shared" si="68"/>
        <v>7826</v>
      </c>
      <c r="F146" s="154">
        <f t="shared" si="68"/>
        <v>7507.5</v>
      </c>
      <c r="G146" s="154">
        <f t="shared" si="68"/>
        <v>7189</v>
      </c>
      <c r="H146" s="154">
        <f t="shared" si="68"/>
        <v>6870.5</v>
      </c>
      <c r="I146" s="154">
        <f t="shared" si="68"/>
        <v>6552</v>
      </c>
      <c r="J146" s="154">
        <f t="shared" si="68"/>
        <v>6233.5</v>
      </c>
      <c r="K146" s="154">
        <f t="shared" si="68"/>
        <v>5915</v>
      </c>
      <c r="L146" s="154">
        <f t="shared" si="68"/>
        <v>5596.5</v>
      </c>
      <c r="M146" s="154">
        <f t="shared" si="68"/>
        <v>5278</v>
      </c>
      <c r="N146" s="154">
        <f t="shared" si="68"/>
        <v>4959.4999999999991</v>
      </c>
      <c r="O146" s="154">
        <f t="shared" si="68"/>
        <v>4640.9999999999991</v>
      </c>
      <c r="P146" s="56"/>
      <c r="Q146" s="56"/>
    </row>
    <row r="147" spans="1:17" ht="1.5" customHeight="1" x14ac:dyDescent="0.2">
      <c r="A147" s="148"/>
      <c r="B147" s="154"/>
      <c r="C147" s="154"/>
      <c r="D147" s="154"/>
      <c r="E147" s="154"/>
      <c r="F147" s="154"/>
      <c r="G147" s="154"/>
      <c r="H147" s="154"/>
      <c r="I147" s="154"/>
      <c r="J147" s="154"/>
      <c r="K147" s="154"/>
      <c r="L147" s="154"/>
      <c r="M147" s="154"/>
      <c r="N147" s="154"/>
      <c r="O147" s="154"/>
      <c r="P147" s="56"/>
      <c r="Q147" s="56"/>
    </row>
    <row r="148" spans="1:17" ht="12.75" x14ac:dyDescent="0.2">
      <c r="A148" s="148" t="s">
        <v>191</v>
      </c>
      <c r="B148" s="154">
        <f>B298</f>
        <v>0</v>
      </c>
      <c r="C148" s="154">
        <f t="shared" ref="C148:O148" si="69">C298</f>
        <v>0</v>
      </c>
      <c r="D148" s="154">
        <f t="shared" si="69"/>
        <v>0</v>
      </c>
      <c r="E148" s="154">
        <f t="shared" si="69"/>
        <v>0</v>
      </c>
      <c r="F148" s="154">
        <f t="shared" si="69"/>
        <v>0</v>
      </c>
      <c r="G148" s="154">
        <f t="shared" si="69"/>
        <v>0</v>
      </c>
      <c r="H148" s="154">
        <f t="shared" si="69"/>
        <v>0</v>
      </c>
      <c r="I148" s="154">
        <f t="shared" si="69"/>
        <v>0</v>
      </c>
      <c r="J148" s="154">
        <f t="shared" si="69"/>
        <v>0</v>
      </c>
      <c r="K148" s="154">
        <f t="shared" si="69"/>
        <v>0</v>
      </c>
      <c r="L148" s="154">
        <f t="shared" si="69"/>
        <v>0</v>
      </c>
      <c r="M148" s="154">
        <f t="shared" si="69"/>
        <v>0</v>
      </c>
      <c r="N148" s="154">
        <f t="shared" si="69"/>
        <v>0</v>
      </c>
      <c r="O148" s="154">
        <f t="shared" si="69"/>
        <v>0</v>
      </c>
      <c r="P148" s="56"/>
      <c r="Q148" s="56"/>
    </row>
    <row r="149" spans="1:17" ht="3.75" customHeight="1" x14ac:dyDescent="0.2">
      <c r="A149" s="145"/>
      <c r="B149" s="154"/>
      <c r="C149" s="154"/>
      <c r="D149" s="154"/>
      <c r="E149" s="154"/>
      <c r="F149" s="154"/>
      <c r="G149" s="154"/>
      <c r="H149" s="154"/>
      <c r="I149" s="154"/>
      <c r="J149" s="154"/>
      <c r="K149" s="154"/>
      <c r="L149" s="154"/>
      <c r="M149" s="154"/>
      <c r="N149" s="154"/>
      <c r="O149" s="154"/>
      <c r="P149" s="56"/>
      <c r="Q149" s="56"/>
    </row>
    <row r="150" spans="1:17" ht="12.75" x14ac:dyDescent="0.2">
      <c r="A150" s="148" t="s">
        <v>192</v>
      </c>
      <c r="B150" s="154"/>
      <c r="C150" s="154"/>
      <c r="D150" s="154"/>
      <c r="E150" s="154"/>
      <c r="F150" s="154"/>
      <c r="G150" s="154"/>
      <c r="H150" s="154"/>
      <c r="I150" s="154"/>
      <c r="J150" s="154"/>
      <c r="K150" s="154"/>
      <c r="L150" s="154"/>
      <c r="M150" s="154"/>
      <c r="N150" s="154"/>
      <c r="O150" s="154"/>
      <c r="P150" s="56"/>
      <c r="Q150" s="56"/>
    </row>
    <row r="151" spans="1:17" ht="12.75" x14ac:dyDescent="0.2">
      <c r="A151" s="149" t="s">
        <v>193</v>
      </c>
      <c r="B151" s="154">
        <f t="shared" ref="B151:O151" si="70">B255</f>
        <v>155.19611232311317</v>
      </c>
      <c r="C151" s="154">
        <f t="shared" si="70"/>
        <v>158.85060451061318</v>
      </c>
      <c r="D151" s="154">
        <f t="shared" si="70"/>
        <v>156.92533107311317</v>
      </c>
      <c r="E151" s="154">
        <f t="shared" si="70"/>
        <v>156.11601076061316</v>
      </c>
      <c r="F151" s="154">
        <f t="shared" si="70"/>
        <v>155.08349982311319</v>
      </c>
      <c r="G151" s="154">
        <f t="shared" si="70"/>
        <v>154.09562701061316</v>
      </c>
      <c r="H151" s="154">
        <f t="shared" si="70"/>
        <v>153.09882657311317</v>
      </c>
      <c r="I151" s="154">
        <f t="shared" si="70"/>
        <v>152.10381166061316</v>
      </c>
      <c r="J151" s="154">
        <f t="shared" si="70"/>
        <v>151.10843964311317</v>
      </c>
      <c r="K151" s="154">
        <f t="shared" si="70"/>
        <v>150.11313904661318</v>
      </c>
      <c r="L151" s="154">
        <f t="shared" si="70"/>
        <v>149.11782416591319</v>
      </c>
      <c r="M151" s="154">
        <f t="shared" si="70"/>
        <v>148.12251214205315</v>
      </c>
      <c r="N151" s="154">
        <f t="shared" si="70"/>
        <v>147.12719954682518</v>
      </c>
      <c r="O151" s="154">
        <f t="shared" si="70"/>
        <v>146.13188706587076</v>
      </c>
      <c r="P151" s="56"/>
      <c r="Q151" s="56"/>
    </row>
    <row r="152" spans="1:17" ht="12.75" x14ac:dyDescent="0.2">
      <c r="A152" s="149" t="s">
        <v>194</v>
      </c>
      <c r="B152" s="154">
        <f t="shared" ref="B152:O152" si="71">B271</f>
        <v>31.177037578616478</v>
      </c>
      <c r="C152" s="154">
        <f t="shared" si="71"/>
        <v>0</v>
      </c>
      <c r="D152" s="154">
        <f t="shared" si="71"/>
        <v>0</v>
      </c>
      <c r="E152" s="154">
        <f t="shared" si="71"/>
        <v>0</v>
      </c>
      <c r="F152" s="154">
        <f t="shared" si="71"/>
        <v>582.63059696540836</v>
      </c>
      <c r="G152" s="154">
        <f t="shared" si="71"/>
        <v>1535.940684930817</v>
      </c>
      <c r="H152" s="154">
        <f t="shared" si="71"/>
        <v>2495.5588746962258</v>
      </c>
      <c r="I152" s="154">
        <f t="shared" si="71"/>
        <v>3461.5594441016347</v>
      </c>
      <c r="J152" s="154">
        <f t="shared" si="71"/>
        <v>4433.927537579043</v>
      </c>
      <c r="K152" s="154">
        <f t="shared" si="71"/>
        <v>5412.6661262420512</v>
      </c>
      <c r="L152" s="154">
        <f t="shared" si="71"/>
        <v>6397.7746158679402</v>
      </c>
      <c r="M152" s="154">
        <f t="shared" si="71"/>
        <v>7389.253125301253</v>
      </c>
      <c r="N152" s="154">
        <f t="shared" si="71"/>
        <v>8387.1016307730806</v>
      </c>
      <c r="O152" s="154">
        <f t="shared" si="71"/>
        <v>9391.3201370372062</v>
      </c>
      <c r="P152" s="56"/>
      <c r="Q152" s="56"/>
    </row>
    <row r="153" spans="1:17" ht="12.75" x14ac:dyDescent="0.2">
      <c r="A153" s="149" t="s">
        <v>267</v>
      </c>
      <c r="B153" s="154">
        <f t="shared" ref="B153:O153" si="72">B266</f>
        <v>89.730903301886769</v>
      </c>
      <c r="C153" s="154">
        <f t="shared" si="72"/>
        <v>89.093903301886769</v>
      </c>
      <c r="D153" s="154">
        <f t="shared" si="72"/>
        <v>88.456903301886769</v>
      </c>
      <c r="E153" s="154">
        <f t="shared" si="72"/>
        <v>87.819903301886768</v>
      </c>
      <c r="F153" s="154">
        <f t="shared" si="72"/>
        <v>87.182903301886768</v>
      </c>
      <c r="G153" s="154">
        <f t="shared" si="72"/>
        <v>86.545903301886767</v>
      </c>
      <c r="H153" s="154">
        <f t="shared" si="72"/>
        <v>85.908903301886767</v>
      </c>
      <c r="I153" s="154">
        <f t="shared" si="72"/>
        <v>85.271903301886766</v>
      </c>
      <c r="J153" s="154">
        <f t="shared" si="72"/>
        <v>84.634903301886766</v>
      </c>
      <c r="K153" s="154">
        <f t="shared" si="72"/>
        <v>83.997903301886765</v>
      </c>
      <c r="L153" s="154">
        <f t="shared" si="72"/>
        <v>83.360903301886765</v>
      </c>
      <c r="M153" s="154">
        <f t="shared" si="72"/>
        <v>82.723903301886764</v>
      </c>
      <c r="N153" s="154">
        <f t="shared" si="72"/>
        <v>82.086903301886764</v>
      </c>
      <c r="O153" s="154">
        <f t="shared" si="72"/>
        <v>81.449903301886764</v>
      </c>
      <c r="P153" s="56"/>
      <c r="Q153" s="56"/>
    </row>
    <row r="154" spans="1:17" ht="12.75" x14ac:dyDescent="0.2">
      <c r="A154" s="149" t="s">
        <v>265</v>
      </c>
      <c r="B154" s="154">
        <f t="shared" ref="B154:O154" si="73">B261</f>
        <v>885.99218749999977</v>
      </c>
      <c r="C154" s="154">
        <f t="shared" si="73"/>
        <v>848.79374999999982</v>
      </c>
      <c r="D154" s="154">
        <f t="shared" si="73"/>
        <v>856.23343749999981</v>
      </c>
      <c r="E154" s="154">
        <f t="shared" si="73"/>
        <v>854.74549999999977</v>
      </c>
      <c r="F154" s="154">
        <f t="shared" si="73"/>
        <v>855.04308749999984</v>
      </c>
      <c r="G154" s="154">
        <f t="shared" si="73"/>
        <v>854.98356999999976</v>
      </c>
      <c r="H154" s="154">
        <f t="shared" si="73"/>
        <v>854.99547349999978</v>
      </c>
      <c r="I154" s="154">
        <f t="shared" si="73"/>
        <v>854.99309279999977</v>
      </c>
      <c r="J154" s="154">
        <f t="shared" si="73"/>
        <v>854.99356893999982</v>
      </c>
      <c r="K154" s="154">
        <f t="shared" si="73"/>
        <v>854.99347371199974</v>
      </c>
      <c r="L154" s="154">
        <f t="shared" si="73"/>
        <v>854.99349275759982</v>
      </c>
      <c r="M154" s="154">
        <f t="shared" si="73"/>
        <v>854.99348894847981</v>
      </c>
      <c r="N154" s="154">
        <f t="shared" si="73"/>
        <v>854.99348971030383</v>
      </c>
      <c r="O154" s="154">
        <f t="shared" si="73"/>
        <v>854.99348955793903</v>
      </c>
      <c r="P154" s="56"/>
      <c r="Q154" s="56"/>
    </row>
    <row r="155" spans="1:17" ht="12.75" x14ac:dyDescent="0.2">
      <c r="A155" s="181" t="s">
        <v>266</v>
      </c>
      <c r="B155" s="238">
        <f t="shared" ref="B155:O155" si="74">B276</f>
        <v>174.95450275157231</v>
      </c>
      <c r="C155" s="238">
        <f t="shared" si="74"/>
        <v>171.238669418239</v>
      </c>
      <c r="D155" s="238">
        <f t="shared" si="74"/>
        <v>167.52283608490566</v>
      </c>
      <c r="E155" s="238">
        <f t="shared" si="74"/>
        <v>163.80700275157233</v>
      </c>
      <c r="F155" s="238">
        <f t="shared" si="74"/>
        <v>160.09116941823899</v>
      </c>
      <c r="G155" s="238">
        <f t="shared" si="74"/>
        <v>156.37533608490565</v>
      </c>
      <c r="H155" s="238">
        <f t="shared" si="74"/>
        <v>152.65950275157232</v>
      </c>
      <c r="I155" s="238">
        <f t="shared" si="74"/>
        <v>148.94366941823898</v>
      </c>
      <c r="J155" s="238">
        <f t="shared" si="74"/>
        <v>145.22783608490565</v>
      </c>
      <c r="K155" s="238">
        <f t="shared" si="74"/>
        <v>141.51200275157231</v>
      </c>
      <c r="L155" s="238">
        <f t="shared" si="74"/>
        <v>137.79616941823897</v>
      </c>
      <c r="M155" s="238">
        <f t="shared" si="74"/>
        <v>134.08033608490564</v>
      </c>
      <c r="N155" s="238">
        <f t="shared" si="74"/>
        <v>130.3645027515723</v>
      </c>
      <c r="O155" s="238">
        <f t="shared" si="74"/>
        <v>126.64866941823898</v>
      </c>
      <c r="P155" s="56"/>
      <c r="Q155" s="56"/>
    </row>
    <row r="156" spans="1:17" ht="2.25" customHeight="1" x14ac:dyDescent="0.2">
      <c r="A156" s="169"/>
      <c r="B156" s="162"/>
      <c r="C156" s="162"/>
      <c r="D156" s="162"/>
      <c r="E156" s="162"/>
      <c r="F156" s="162"/>
      <c r="G156" s="162"/>
      <c r="H156" s="162"/>
      <c r="I156" s="162"/>
      <c r="J156" s="162"/>
      <c r="K156" s="162"/>
      <c r="L156" s="162"/>
      <c r="M156" s="162"/>
      <c r="N156" s="162"/>
      <c r="O156" s="162"/>
      <c r="P156" s="56"/>
      <c r="Q156" s="56"/>
    </row>
    <row r="157" spans="1:17" ht="12.75" x14ac:dyDescent="0.2">
      <c r="A157" s="161" t="s">
        <v>195</v>
      </c>
      <c r="B157" s="162">
        <f t="shared" ref="B157:O157" si="75">SUM(B151:B156)</f>
        <v>1337.0507434551887</v>
      </c>
      <c r="C157" s="162">
        <f t="shared" si="75"/>
        <v>1267.9769272307387</v>
      </c>
      <c r="D157" s="162">
        <f t="shared" si="75"/>
        <v>1269.1385079599056</v>
      </c>
      <c r="E157" s="162">
        <f t="shared" si="75"/>
        <v>1262.488416814072</v>
      </c>
      <c r="F157" s="162">
        <f t="shared" si="75"/>
        <v>1840.0312570086471</v>
      </c>
      <c r="G157" s="162">
        <f t="shared" si="75"/>
        <v>2787.9411213282219</v>
      </c>
      <c r="H157" s="162">
        <f t="shared" si="75"/>
        <v>3742.2215808227975</v>
      </c>
      <c r="I157" s="162">
        <f t="shared" si="75"/>
        <v>4702.8719212823726</v>
      </c>
      <c r="J157" s="162">
        <f t="shared" si="75"/>
        <v>5669.8922855489491</v>
      </c>
      <c r="K157" s="162">
        <f t="shared" si="75"/>
        <v>6643.2826450541243</v>
      </c>
      <c r="L157" s="162">
        <f t="shared" si="75"/>
        <v>7623.0430055115785</v>
      </c>
      <c r="M157" s="162">
        <f t="shared" si="75"/>
        <v>8609.173365778579</v>
      </c>
      <c r="N157" s="162">
        <f t="shared" si="75"/>
        <v>9601.6737260836671</v>
      </c>
      <c r="O157" s="162">
        <f t="shared" si="75"/>
        <v>10600.544086381142</v>
      </c>
      <c r="P157" s="56"/>
      <c r="Q157" s="56"/>
    </row>
    <row r="158" spans="1:17" ht="13.5" thickBot="1" x14ac:dyDescent="0.25">
      <c r="A158" s="170" t="s">
        <v>196</v>
      </c>
      <c r="B158" s="246">
        <f t="shared" ref="B158:O158" si="76">B146+B157+B148</f>
        <v>10118.550743455189</v>
      </c>
      <c r="C158" s="246">
        <f t="shared" si="76"/>
        <v>9730.9769272307385</v>
      </c>
      <c r="D158" s="246">
        <f t="shared" si="76"/>
        <v>9413.6385079599058</v>
      </c>
      <c r="E158" s="246">
        <f t="shared" si="76"/>
        <v>9088.4884168140725</v>
      </c>
      <c r="F158" s="246">
        <f t="shared" si="76"/>
        <v>9347.5312570086462</v>
      </c>
      <c r="G158" s="246">
        <f t="shared" si="76"/>
        <v>9976.9411213282219</v>
      </c>
      <c r="H158" s="246">
        <f t="shared" si="76"/>
        <v>10612.721580822797</v>
      </c>
      <c r="I158" s="246">
        <f t="shared" si="76"/>
        <v>11254.871921282373</v>
      </c>
      <c r="J158" s="246">
        <f t="shared" si="76"/>
        <v>11903.392285548949</v>
      </c>
      <c r="K158" s="246">
        <f t="shared" si="76"/>
        <v>12558.282645054125</v>
      </c>
      <c r="L158" s="246">
        <f t="shared" si="76"/>
        <v>13219.543005511579</v>
      </c>
      <c r="M158" s="246">
        <f t="shared" si="76"/>
        <v>13887.173365778579</v>
      </c>
      <c r="N158" s="246">
        <f t="shared" si="76"/>
        <v>14561.173726083667</v>
      </c>
      <c r="O158" s="246">
        <f t="shared" si="76"/>
        <v>15241.544086381142</v>
      </c>
      <c r="P158" s="56"/>
      <c r="Q158" s="56"/>
    </row>
    <row r="159" spans="1:17" ht="4.5" customHeight="1" thickTop="1" x14ac:dyDescent="0.2">
      <c r="A159" s="145"/>
      <c r="B159" s="154"/>
      <c r="C159" s="154"/>
      <c r="D159" s="154"/>
      <c r="E159" s="154"/>
      <c r="F159" s="154"/>
      <c r="G159" s="154"/>
      <c r="H159" s="154"/>
      <c r="I159" s="154"/>
      <c r="J159" s="154"/>
      <c r="K159" s="154"/>
      <c r="L159" s="154"/>
      <c r="M159" s="154"/>
      <c r="N159" s="154"/>
      <c r="O159" s="154"/>
      <c r="P159" s="56"/>
      <c r="Q159" s="56"/>
    </row>
    <row r="160" spans="1:17" ht="12.75" x14ac:dyDescent="0.2">
      <c r="A160" s="148" t="s">
        <v>197</v>
      </c>
      <c r="B160" s="154"/>
      <c r="C160" s="154"/>
      <c r="D160" s="154"/>
      <c r="E160" s="154"/>
      <c r="F160" s="154"/>
      <c r="G160" s="154"/>
      <c r="H160" s="154"/>
      <c r="I160" s="154"/>
      <c r="J160" s="154"/>
      <c r="K160" s="154"/>
      <c r="L160" s="154"/>
      <c r="M160" s="154"/>
      <c r="N160" s="154"/>
      <c r="O160" s="154"/>
      <c r="P160" s="56"/>
      <c r="Q160" s="56"/>
    </row>
    <row r="161" spans="1:17" ht="4.5" customHeight="1" x14ac:dyDescent="0.2">
      <c r="A161" s="145"/>
      <c r="B161" s="154"/>
      <c r="C161" s="154"/>
      <c r="D161" s="154"/>
      <c r="E161" s="154"/>
      <c r="F161" s="154"/>
      <c r="G161" s="154"/>
      <c r="H161" s="154"/>
      <c r="I161" s="154"/>
      <c r="J161" s="154"/>
      <c r="K161" s="154"/>
      <c r="L161" s="154"/>
      <c r="M161" s="154"/>
      <c r="N161" s="154"/>
      <c r="O161" s="154"/>
      <c r="P161" s="56"/>
      <c r="Q161" s="56"/>
    </row>
    <row r="162" spans="1:17" ht="12.75" x14ac:dyDescent="0.2">
      <c r="A162" s="148" t="s">
        <v>198</v>
      </c>
      <c r="B162" s="154"/>
      <c r="C162" s="154"/>
      <c r="D162" s="154"/>
      <c r="E162" s="154"/>
      <c r="F162" s="154"/>
      <c r="G162" s="154"/>
      <c r="H162" s="154"/>
      <c r="I162" s="154"/>
      <c r="J162" s="154"/>
      <c r="K162" s="154"/>
      <c r="L162" s="154"/>
      <c r="M162" s="154"/>
      <c r="N162" s="154"/>
      <c r="O162" s="154"/>
      <c r="P162" s="56"/>
      <c r="Q162" s="56"/>
    </row>
    <row r="163" spans="1:17" ht="12.75" x14ac:dyDescent="0.2">
      <c r="A163" s="149" t="s">
        <v>199</v>
      </c>
      <c r="B163" s="154">
        <f t="shared" ref="B163:O163" si="77">$B$322</f>
        <v>5600</v>
      </c>
      <c r="C163" s="154">
        <f t="shared" si="77"/>
        <v>5600</v>
      </c>
      <c r="D163" s="154">
        <f t="shared" si="77"/>
        <v>5600</v>
      </c>
      <c r="E163" s="154">
        <f t="shared" si="77"/>
        <v>5600</v>
      </c>
      <c r="F163" s="154">
        <f t="shared" si="77"/>
        <v>5600</v>
      </c>
      <c r="G163" s="154">
        <f t="shared" si="77"/>
        <v>5600</v>
      </c>
      <c r="H163" s="154">
        <f t="shared" si="77"/>
        <v>5600</v>
      </c>
      <c r="I163" s="154">
        <f t="shared" si="77"/>
        <v>5600</v>
      </c>
      <c r="J163" s="154">
        <f t="shared" si="77"/>
        <v>5600</v>
      </c>
      <c r="K163" s="154">
        <f t="shared" si="77"/>
        <v>5600</v>
      </c>
      <c r="L163" s="154">
        <f t="shared" si="77"/>
        <v>5600</v>
      </c>
      <c r="M163" s="154">
        <f t="shared" si="77"/>
        <v>5600</v>
      </c>
      <c r="N163" s="154">
        <f t="shared" si="77"/>
        <v>5600</v>
      </c>
      <c r="O163" s="154">
        <f t="shared" si="77"/>
        <v>5600</v>
      </c>
      <c r="P163" s="56"/>
      <c r="Q163" s="56"/>
    </row>
    <row r="164" spans="1:17" ht="12.75" x14ac:dyDescent="0.2">
      <c r="A164" s="149" t="s">
        <v>200</v>
      </c>
      <c r="B164" s="154">
        <f>B329</f>
        <v>513.35463113207538</v>
      </c>
      <c r="C164" s="154">
        <f t="shared" ref="C164:O164" si="78">C328+B164</f>
        <v>881.32051226415069</v>
      </c>
      <c r="D164" s="154">
        <f t="shared" si="78"/>
        <v>1277.6081433962261</v>
      </c>
      <c r="E164" s="154">
        <f t="shared" si="78"/>
        <v>1735.0754245283015</v>
      </c>
      <c r="F164" s="154">
        <f t="shared" si="78"/>
        <v>2295.1507756603769</v>
      </c>
      <c r="G164" s="154">
        <f t="shared" si="78"/>
        <v>2925.5485127924521</v>
      </c>
      <c r="H164" s="154">
        <f t="shared" si="78"/>
        <v>3562.3257727245273</v>
      </c>
      <c r="I164" s="154">
        <f t="shared" si="78"/>
        <v>4205.471128096603</v>
      </c>
      <c r="J164" s="154">
        <f t="shared" si="78"/>
        <v>4854.9868643806785</v>
      </c>
      <c r="K164" s="154">
        <f t="shared" si="78"/>
        <v>5510.8725244823536</v>
      </c>
      <c r="L164" s="154">
        <f t="shared" si="78"/>
        <v>6173.1281998205086</v>
      </c>
      <c r="M164" s="154">
        <f t="shared" si="78"/>
        <v>6841.7538721113679</v>
      </c>
      <c r="N164" s="154">
        <f t="shared" si="78"/>
        <v>7516.7495450116867</v>
      </c>
      <c r="O164" s="154">
        <f t="shared" si="78"/>
        <v>8198.1152177901131</v>
      </c>
      <c r="P164" s="56"/>
      <c r="Q164" s="56"/>
    </row>
    <row r="165" spans="1:17" ht="12.75" x14ac:dyDescent="0.2">
      <c r="A165" s="149" t="s">
        <v>285</v>
      </c>
      <c r="B165" s="154">
        <f t="shared" ref="B165:O165" si="79">B334</f>
        <v>1050</v>
      </c>
      <c r="C165" s="154">
        <f t="shared" si="79"/>
        <v>1050</v>
      </c>
      <c r="D165" s="154">
        <f t="shared" si="79"/>
        <v>1050</v>
      </c>
      <c r="E165" s="154">
        <f t="shared" si="79"/>
        <v>1050</v>
      </c>
      <c r="F165" s="154">
        <f t="shared" si="79"/>
        <v>1050</v>
      </c>
      <c r="G165" s="154">
        <f t="shared" si="79"/>
        <v>1050</v>
      </c>
      <c r="H165" s="154">
        <f t="shared" si="79"/>
        <v>1050</v>
      </c>
      <c r="I165" s="154">
        <f t="shared" si="79"/>
        <v>1050</v>
      </c>
      <c r="J165" s="154">
        <f t="shared" si="79"/>
        <v>1050</v>
      </c>
      <c r="K165" s="154">
        <f t="shared" si="79"/>
        <v>1050</v>
      </c>
      <c r="L165" s="154">
        <f t="shared" si="79"/>
        <v>1050</v>
      </c>
      <c r="M165" s="154">
        <f t="shared" si="79"/>
        <v>1050</v>
      </c>
      <c r="N165" s="154">
        <f t="shared" si="79"/>
        <v>1050</v>
      </c>
      <c r="O165" s="154">
        <f t="shared" si="79"/>
        <v>1050</v>
      </c>
      <c r="P165" s="56"/>
      <c r="Q165" s="56"/>
    </row>
    <row r="166" spans="1:17" ht="12.75" x14ac:dyDescent="0.2">
      <c r="A166" s="169" t="s">
        <v>201</v>
      </c>
      <c r="B166" s="162">
        <f>B323</f>
        <v>0</v>
      </c>
      <c r="C166" s="162">
        <f t="shared" ref="C166:O166" si="80">C323+B166</f>
        <v>40.805810455975035</v>
      </c>
      <c r="D166" s="162">
        <f t="shared" si="80"/>
        <v>129.10503349056617</v>
      </c>
      <c r="E166" s="162">
        <f t="shared" si="80"/>
        <v>147.29698152515741</v>
      </c>
      <c r="F166" s="162">
        <f t="shared" si="80"/>
        <v>147.29698152515741</v>
      </c>
      <c r="G166" s="162">
        <f t="shared" si="80"/>
        <v>147.29698152515741</v>
      </c>
      <c r="H166" s="162">
        <f t="shared" si="80"/>
        <v>147.29698152515741</v>
      </c>
      <c r="I166" s="162">
        <f t="shared" si="80"/>
        <v>147.29698152515741</v>
      </c>
      <c r="J166" s="162">
        <f t="shared" si="80"/>
        <v>147.29698152515741</v>
      </c>
      <c r="K166" s="162">
        <f t="shared" si="80"/>
        <v>147.29698152515741</v>
      </c>
      <c r="L166" s="162">
        <f t="shared" si="80"/>
        <v>147.29698152515741</v>
      </c>
      <c r="M166" s="162">
        <f t="shared" si="80"/>
        <v>147.29698152515741</v>
      </c>
      <c r="N166" s="162">
        <f t="shared" si="80"/>
        <v>147.29698152515741</v>
      </c>
      <c r="O166" s="162">
        <f t="shared" si="80"/>
        <v>147.29698152515741</v>
      </c>
      <c r="P166" s="56"/>
      <c r="Q166" s="56"/>
    </row>
    <row r="167" spans="1:17" ht="12.75" x14ac:dyDescent="0.2">
      <c r="A167" s="148" t="s">
        <v>202</v>
      </c>
      <c r="B167" s="154">
        <f>SUM(B163:B166)</f>
        <v>7163.3546311320752</v>
      </c>
      <c r="C167" s="154">
        <f t="shared" ref="C167:O167" si="81">SUM(C163:C166)</f>
        <v>7572.1263227201252</v>
      </c>
      <c r="D167" s="154">
        <f t="shared" si="81"/>
        <v>8056.7131768867921</v>
      </c>
      <c r="E167" s="154">
        <f t="shared" si="81"/>
        <v>8532.3724060534605</v>
      </c>
      <c r="F167" s="154">
        <f t="shared" si="81"/>
        <v>9092.447757185535</v>
      </c>
      <c r="G167" s="154">
        <f t="shared" si="81"/>
        <v>9722.8454943176093</v>
      </c>
      <c r="H167" s="154">
        <f t="shared" si="81"/>
        <v>10359.622754249685</v>
      </c>
      <c r="I167" s="154">
        <f t="shared" si="81"/>
        <v>11002.768109621762</v>
      </c>
      <c r="J167" s="154">
        <f t="shared" si="81"/>
        <v>11652.283845905837</v>
      </c>
      <c r="K167" s="154">
        <f t="shared" si="81"/>
        <v>12308.169506007513</v>
      </c>
      <c r="L167" s="154">
        <f t="shared" si="81"/>
        <v>12970.425181345667</v>
      </c>
      <c r="M167" s="154">
        <f t="shared" si="81"/>
        <v>13639.050853636525</v>
      </c>
      <c r="N167" s="154">
        <f t="shared" si="81"/>
        <v>14314.046526536846</v>
      </c>
      <c r="O167" s="154">
        <f t="shared" si="81"/>
        <v>14995.412199315271</v>
      </c>
      <c r="P167" s="56"/>
      <c r="Q167" s="56"/>
    </row>
    <row r="168" spans="1:17" ht="3" customHeight="1" x14ac:dyDescent="0.2">
      <c r="A168" s="145"/>
      <c r="B168" s="154"/>
      <c r="C168" s="154"/>
      <c r="D168" s="154"/>
      <c r="E168" s="154"/>
      <c r="F168" s="154"/>
      <c r="G168" s="154"/>
      <c r="H168" s="154"/>
      <c r="I168" s="154"/>
      <c r="J168" s="154"/>
      <c r="K168" s="154"/>
      <c r="L168" s="154"/>
      <c r="M168" s="154"/>
      <c r="N168" s="154"/>
      <c r="O168" s="154"/>
      <c r="P168" s="56"/>
      <c r="Q168" s="56"/>
    </row>
    <row r="169" spans="1:17" ht="12.75" x14ac:dyDescent="0.2">
      <c r="A169" s="148" t="s">
        <v>203</v>
      </c>
      <c r="B169" s="154"/>
      <c r="C169" s="154"/>
      <c r="D169" s="154"/>
      <c r="E169" s="154"/>
      <c r="F169" s="154"/>
      <c r="G169" s="154"/>
      <c r="H169" s="154"/>
      <c r="I169" s="154"/>
      <c r="J169" s="154"/>
      <c r="K169" s="154"/>
      <c r="L169" s="154"/>
      <c r="M169" s="154"/>
      <c r="N169" s="154"/>
      <c r="O169" s="154"/>
      <c r="P169" s="56"/>
      <c r="Q169" s="56"/>
    </row>
    <row r="170" spans="1:17" ht="12.75" x14ac:dyDescent="0.2">
      <c r="A170" s="156" t="s">
        <v>174</v>
      </c>
      <c r="B170" s="154">
        <f t="shared" ref="B170:O170" si="82">B213</f>
        <v>2800</v>
      </c>
      <c r="C170" s="154">
        <f t="shared" si="82"/>
        <v>2000</v>
      </c>
      <c r="D170" s="154">
        <f t="shared" si="82"/>
        <v>1200</v>
      </c>
      <c r="E170" s="154">
        <f t="shared" si="82"/>
        <v>400</v>
      </c>
      <c r="F170" s="154">
        <f t="shared" si="82"/>
        <v>100</v>
      </c>
      <c r="G170" s="154">
        <f t="shared" si="82"/>
        <v>100</v>
      </c>
      <c r="H170" s="154">
        <f t="shared" si="82"/>
        <v>100</v>
      </c>
      <c r="I170" s="154">
        <f t="shared" si="82"/>
        <v>100</v>
      </c>
      <c r="J170" s="154">
        <f t="shared" si="82"/>
        <v>100</v>
      </c>
      <c r="K170" s="154">
        <f t="shared" si="82"/>
        <v>100</v>
      </c>
      <c r="L170" s="154">
        <f t="shared" si="82"/>
        <v>100</v>
      </c>
      <c r="M170" s="154">
        <f t="shared" si="82"/>
        <v>100</v>
      </c>
      <c r="N170" s="154">
        <f t="shared" si="82"/>
        <v>100</v>
      </c>
      <c r="O170" s="154">
        <f t="shared" si="82"/>
        <v>100</v>
      </c>
      <c r="P170" s="56"/>
      <c r="Q170" s="56"/>
    </row>
    <row r="171" spans="1:17" ht="12.75" x14ac:dyDescent="0.2">
      <c r="A171" s="149" t="str">
        <f>'Projects &amp; Financing'!B43</f>
        <v>Loan1</v>
      </c>
      <c r="B171" s="154">
        <f t="shared" ref="B171:O171" si="83">B221</f>
        <v>0</v>
      </c>
      <c r="C171" s="154">
        <f t="shared" si="83"/>
        <v>0</v>
      </c>
      <c r="D171" s="154">
        <f t="shared" si="83"/>
        <v>0</v>
      </c>
      <c r="E171" s="154">
        <f t="shared" si="83"/>
        <v>0</v>
      </c>
      <c r="F171" s="154">
        <f t="shared" si="83"/>
        <v>0</v>
      </c>
      <c r="G171" s="154">
        <f t="shared" si="83"/>
        <v>0</v>
      </c>
      <c r="H171" s="154">
        <f t="shared" si="83"/>
        <v>0</v>
      </c>
      <c r="I171" s="154">
        <f t="shared" si="83"/>
        <v>0</v>
      </c>
      <c r="J171" s="154">
        <f t="shared" si="83"/>
        <v>0</v>
      </c>
      <c r="K171" s="154">
        <f t="shared" si="83"/>
        <v>0</v>
      </c>
      <c r="L171" s="154">
        <f t="shared" si="83"/>
        <v>0</v>
      </c>
      <c r="M171" s="154">
        <f t="shared" si="83"/>
        <v>0</v>
      </c>
      <c r="N171" s="154">
        <f t="shared" si="83"/>
        <v>0</v>
      </c>
      <c r="O171" s="154">
        <f t="shared" si="83"/>
        <v>0</v>
      </c>
      <c r="P171" s="56"/>
      <c r="Q171" s="56"/>
    </row>
    <row r="172" spans="1:17" ht="12.75" x14ac:dyDescent="0.2">
      <c r="A172" s="149" t="str">
        <f>'Projects &amp; Financing'!C43</f>
        <v>Loan2</v>
      </c>
      <c r="B172" s="154">
        <f t="shared" ref="B172:O172" si="84">B229</f>
        <v>0</v>
      </c>
      <c r="C172" s="154">
        <f t="shared" si="84"/>
        <v>0</v>
      </c>
      <c r="D172" s="154">
        <f t="shared" si="84"/>
        <v>0</v>
      </c>
      <c r="E172" s="154">
        <f t="shared" si="84"/>
        <v>0</v>
      </c>
      <c r="F172" s="154">
        <f t="shared" si="84"/>
        <v>0</v>
      </c>
      <c r="G172" s="154">
        <f t="shared" si="84"/>
        <v>0</v>
      </c>
      <c r="H172" s="154">
        <f t="shared" si="84"/>
        <v>0</v>
      </c>
      <c r="I172" s="154">
        <f t="shared" si="84"/>
        <v>0</v>
      </c>
      <c r="J172" s="154">
        <f t="shared" si="84"/>
        <v>0</v>
      </c>
      <c r="K172" s="154">
        <f t="shared" si="84"/>
        <v>0</v>
      </c>
      <c r="L172" s="154">
        <f t="shared" si="84"/>
        <v>0</v>
      </c>
      <c r="M172" s="154">
        <f t="shared" si="84"/>
        <v>0</v>
      </c>
      <c r="N172" s="154">
        <f t="shared" si="84"/>
        <v>0</v>
      </c>
      <c r="O172" s="154">
        <f t="shared" si="84"/>
        <v>0</v>
      </c>
      <c r="P172" s="56"/>
      <c r="Q172" s="56"/>
    </row>
    <row r="173" spans="1:17" ht="12.75" x14ac:dyDescent="0.2">
      <c r="A173" s="149" t="str">
        <f>'Projects &amp; Financing'!D43</f>
        <v>Loan3</v>
      </c>
      <c r="B173" s="154">
        <f t="shared" ref="B173:O173" si="85">B237</f>
        <v>0</v>
      </c>
      <c r="C173" s="154">
        <f t="shared" si="85"/>
        <v>0</v>
      </c>
      <c r="D173" s="154">
        <f t="shared" si="85"/>
        <v>0</v>
      </c>
      <c r="E173" s="154">
        <f t="shared" si="85"/>
        <v>0</v>
      </c>
      <c r="F173" s="154">
        <f t="shared" si="85"/>
        <v>0</v>
      </c>
      <c r="G173" s="154">
        <f t="shared" si="85"/>
        <v>0</v>
      </c>
      <c r="H173" s="154">
        <f t="shared" si="85"/>
        <v>0</v>
      </c>
      <c r="I173" s="154">
        <f t="shared" si="85"/>
        <v>0</v>
      </c>
      <c r="J173" s="154">
        <f t="shared" si="85"/>
        <v>0</v>
      </c>
      <c r="K173" s="154">
        <f t="shared" si="85"/>
        <v>0</v>
      </c>
      <c r="L173" s="154">
        <f t="shared" si="85"/>
        <v>0</v>
      </c>
      <c r="M173" s="154">
        <f t="shared" si="85"/>
        <v>0</v>
      </c>
      <c r="N173" s="154">
        <f t="shared" si="85"/>
        <v>0</v>
      </c>
      <c r="O173" s="154">
        <f t="shared" si="85"/>
        <v>0</v>
      </c>
      <c r="P173" s="56"/>
      <c r="Q173" s="56"/>
    </row>
    <row r="174" spans="1:17" ht="3.75" customHeight="1" x14ac:dyDescent="0.2">
      <c r="A174" s="149"/>
      <c r="B174" s="154"/>
      <c r="C174" s="154"/>
      <c r="D174" s="154"/>
      <c r="E174" s="154"/>
      <c r="F174" s="154"/>
      <c r="G174" s="154"/>
      <c r="H174" s="154"/>
      <c r="I174" s="154"/>
      <c r="J174" s="154"/>
      <c r="K174" s="154"/>
      <c r="L174" s="154"/>
      <c r="M174" s="154"/>
      <c r="N174" s="154"/>
      <c r="O174" s="154"/>
      <c r="P174" s="56"/>
      <c r="Q174" s="56"/>
    </row>
    <row r="175" spans="1:17" ht="12.75" x14ac:dyDescent="0.2">
      <c r="A175" s="169" t="s">
        <v>204</v>
      </c>
      <c r="B175" s="162">
        <f t="shared" ref="B175:O175" si="86">C244</f>
        <v>800</v>
      </c>
      <c r="C175" s="162">
        <f t="shared" si="86"/>
        <v>800</v>
      </c>
      <c r="D175" s="162">
        <f t="shared" si="86"/>
        <v>800</v>
      </c>
      <c r="E175" s="162">
        <f t="shared" si="86"/>
        <v>300</v>
      </c>
      <c r="F175" s="162">
        <f t="shared" si="86"/>
        <v>0</v>
      </c>
      <c r="G175" s="162">
        <f t="shared" si="86"/>
        <v>0</v>
      </c>
      <c r="H175" s="162">
        <f t="shared" si="86"/>
        <v>0</v>
      </c>
      <c r="I175" s="162">
        <f t="shared" si="86"/>
        <v>0</v>
      </c>
      <c r="J175" s="162">
        <f t="shared" si="86"/>
        <v>0</v>
      </c>
      <c r="K175" s="162">
        <f t="shared" si="86"/>
        <v>0</v>
      </c>
      <c r="L175" s="162">
        <f t="shared" si="86"/>
        <v>0</v>
      </c>
      <c r="M175" s="162">
        <f t="shared" si="86"/>
        <v>0</v>
      </c>
      <c r="N175" s="162">
        <f t="shared" si="86"/>
        <v>0</v>
      </c>
      <c r="O175" s="162">
        <f t="shared" si="86"/>
        <v>0</v>
      </c>
      <c r="P175" s="56"/>
      <c r="Q175" s="56"/>
    </row>
    <row r="176" spans="1:17" ht="12.75" x14ac:dyDescent="0.2">
      <c r="A176" s="148" t="s">
        <v>205</v>
      </c>
      <c r="B176" s="154">
        <f>SUM(B170:B174)-B175</f>
        <v>2000</v>
      </c>
      <c r="C176" s="154">
        <f t="shared" ref="C176:O176" si="87">SUM(C170:C174)-C175</f>
        <v>1200</v>
      </c>
      <c r="D176" s="154">
        <f t="shared" si="87"/>
        <v>400</v>
      </c>
      <c r="E176" s="154">
        <f t="shared" si="87"/>
        <v>100</v>
      </c>
      <c r="F176" s="154">
        <f t="shared" si="87"/>
        <v>100</v>
      </c>
      <c r="G176" s="154">
        <f t="shared" si="87"/>
        <v>100</v>
      </c>
      <c r="H176" s="154">
        <f t="shared" si="87"/>
        <v>100</v>
      </c>
      <c r="I176" s="154">
        <f t="shared" si="87"/>
        <v>100</v>
      </c>
      <c r="J176" s="154">
        <f t="shared" si="87"/>
        <v>100</v>
      </c>
      <c r="K176" s="154">
        <f t="shared" si="87"/>
        <v>100</v>
      </c>
      <c r="L176" s="154">
        <f t="shared" si="87"/>
        <v>100</v>
      </c>
      <c r="M176" s="154">
        <f t="shared" si="87"/>
        <v>100</v>
      </c>
      <c r="N176" s="154">
        <f t="shared" si="87"/>
        <v>100</v>
      </c>
      <c r="O176" s="154">
        <f t="shared" si="87"/>
        <v>100</v>
      </c>
      <c r="P176" s="56"/>
      <c r="Q176" s="56"/>
    </row>
    <row r="177" spans="1:17" ht="3" customHeight="1" x14ac:dyDescent="0.2">
      <c r="A177" s="177"/>
      <c r="B177" s="248"/>
      <c r="C177" s="248"/>
      <c r="D177" s="248"/>
      <c r="E177" s="248"/>
      <c r="F177" s="248"/>
      <c r="G177" s="248"/>
      <c r="H177" s="248"/>
      <c r="I177" s="248"/>
      <c r="J177" s="248"/>
      <c r="K177" s="248"/>
      <c r="L177" s="248"/>
      <c r="M177" s="248"/>
      <c r="N177" s="248"/>
      <c r="O177" s="248"/>
      <c r="P177" s="56"/>
      <c r="Q177" s="56"/>
    </row>
    <row r="178" spans="1:17" ht="12.75" x14ac:dyDescent="0.2">
      <c r="A178" s="148" t="s">
        <v>206</v>
      </c>
      <c r="B178" s="154"/>
      <c r="C178" s="154"/>
      <c r="D178" s="154"/>
      <c r="E178" s="154"/>
      <c r="F178" s="154"/>
      <c r="G178" s="154"/>
      <c r="H178" s="154"/>
      <c r="I178" s="154"/>
      <c r="J178" s="154"/>
      <c r="K178" s="154"/>
      <c r="L178" s="154"/>
      <c r="M178" s="154"/>
      <c r="N178" s="154"/>
      <c r="O178" s="154"/>
      <c r="P178" s="56"/>
      <c r="Q178" s="56"/>
    </row>
    <row r="179" spans="1:17" ht="12.75" x14ac:dyDescent="0.2">
      <c r="A179" s="149" t="s">
        <v>268</v>
      </c>
      <c r="B179" s="154">
        <f t="shared" ref="B179:O179" si="88">B315</f>
        <v>155.19611232311317</v>
      </c>
      <c r="C179" s="154">
        <f t="shared" si="88"/>
        <v>158.85060451061318</v>
      </c>
      <c r="D179" s="154">
        <f t="shared" si="88"/>
        <v>156.92533107311317</v>
      </c>
      <c r="E179" s="154">
        <f t="shared" si="88"/>
        <v>156.11601076061316</v>
      </c>
      <c r="F179" s="154">
        <f t="shared" si="88"/>
        <v>155.08349982311319</v>
      </c>
      <c r="G179" s="154">
        <f t="shared" si="88"/>
        <v>154.09562701061316</v>
      </c>
      <c r="H179" s="154">
        <f t="shared" si="88"/>
        <v>153.09882657311317</v>
      </c>
      <c r="I179" s="154">
        <f t="shared" si="88"/>
        <v>152.10381166061316</v>
      </c>
      <c r="J179" s="154">
        <f t="shared" si="88"/>
        <v>151.10843964311317</v>
      </c>
      <c r="K179" s="154">
        <f t="shared" si="88"/>
        <v>150.11313904661318</v>
      </c>
      <c r="L179" s="154">
        <f t="shared" si="88"/>
        <v>149.11782416591319</v>
      </c>
      <c r="M179" s="154">
        <f t="shared" si="88"/>
        <v>148.12251214205315</v>
      </c>
      <c r="N179" s="154">
        <f t="shared" si="88"/>
        <v>147.12719954682518</v>
      </c>
      <c r="O179" s="154">
        <f t="shared" si="88"/>
        <v>146.13188706587076</v>
      </c>
      <c r="P179" s="56"/>
      <c r="Q179" s="56"/>
    </row>
    <row r="180" spans="1:17" ht="12.75" x14ac:dyDescent="0.2">
      <c r="A180" s="149" t="s">
        <v>207</v>
      </c>
      <c r="B180" s="154">
        <f t="shared" ref="B180:O180" si="89">B339</f>
        <v>0</v>
      </c>
      <c r="C180" s="154">
        <f t="shared" si="89"/>
        <v>0</v>
      </c>
      <c r="D180" s="154">
        <f t="shared" si="89"/>
        <v>0</v>
      </c>
      <c r="E180" s="154">
        <f t="shared" si="89"/>
        <v>0</v>
      </c>
      <c r="F180" s="154">
        <f t="shared" si="89"/>
        <v>0</v>
      </c>
      <c r="G180" s="154">
        <f t="shared" si="89"/>
        <v>0</v>
      </c>
      <c r="H180" s="154">
        <f t="shared" si="89"/>
        <v>0</v>
      </c>
      <c r="I180" s="154">
        <f t="shared" si="89"/>
        <v>0</v>
      </c>
      <c r="J180" s="154">
        <f t="shared" si="89"/>
        <v>0</v>
      </c>
      <c r="K180" s="154">
        <f t="shared" si="89"/>
        <v>0</v>
      </c>
      <c r="L180" s="154">
        <f t="shared" si="89"/>
        <v>0</v>
      </c>
      <c r="M180" s="154">
        <f t="shared" si="89"/>
        <v>0</v>
      </c>
      <c r="N180" s="154">
        <f t="shared" si="89"/>
        <v>0</v>
      </c>
      <c r="O180" s="154">
        <f t="shared" si="89"/>
        <v>0</v>
      </c>
      <c r="P180" s="56"/>
      <c r="Q180" s="56"/>
    </row>
    <row r="181" spans="1:17" ht="12.75" x14ac:dyDescent="0.2">
      <c r="A181" s="169" t="s">
        <v>208</v>
      </c>
      <c r="B181" s="162">
        <f t="shared" ref="B181:N181" si="90">B175</f>
        <v>800</v>
      </c>
      <c r="C181" s="162">
        <f t="shared" si="90"/>
        <v>800</v>
      </c>
      <c r="D181" s="162">
        <f t="shared" si="90"/>
        <v>800</v>
      </c>
      <c r="E181" s="162">
        <f t="shared" si="90"/>
        <v>300</v>
      </c>
      <c r="F181" s="162">
        <f t="shared" si="90"/>
        <v>0</v>
      </c>
      <c r="G181" s="162">
        <f t="shared" si="90"/>
        <v>0</v>
      </c>
      <c r="H181" s="162">
        <f t="shared" si="90"/>
        <v>0</v>
      </c>
      <c r="I181" s="162">
        <f t="shared" si="90"/>
        <v>0</v>
      </c>
      <c r="J181" s="162">
        <f t="shared" si="90"/>
        <v>0</v>
      </c>
      <c r="K181" s="162">
        <f t="shared" si="90"/>
        <v>0</v>
      </c>
      <c r="L181" s="162">
        <f t="shared" si="90"/>
        <v>0</v>
      </c>
      <c r="M181" s="162">
        <f t="shared" si="90"/>
        <v>0</v>
      </c>
      <c r="N181" s="162">
        <f t="shared" si="90"/>
        <v>0</v>
      </c>
      <c r="O181" s="162">
        <f>P244</f>
        <v>0</v>
      </c>
      <c r="P181" s="56"/>
      <c r="Q181" s="56"/>
    </row>
    <row r="182" spans="1:17" ht="12.75" x14ac:dyDescent="0.2">
      <c r="A182" s="148" t="s">
        <v>209</v>
      </c>
      <c r="B182" s="154">
        <f t="shared" ref="B182:O182" si="91">SUM(B179:B181)</f>
        <v>955.1961123231132</v>
      </c>
      <c r="C182" s="154">
        <f t="shared" si="91"/>
        <v>958.85060451061315</v>
      </c>
      <c r="D182" s="154">
        <f t="shared" si="91"/>
        <v>956.92533107311317</v>
      </c>
      <c r="E182" s="154">
        <f t="shared" si="91"/>
        <v>456.11601076061316</v>
      </c>
      <c r="F182" s="154">
        <f t="shared" si="91"/>
        <v>155.08349982311319</v>
      </c>
      <c r="G182" s="154">
        <f t="shared" si="91"/>
        <v>154.09562701061316</v>
      </c>
      <c r="H182" s="154">
        <f t="shared" si="91"/>
        <v>153.09882657311317</v>
      </c>
      <c r="I182" s="154">
        <f t="shared" si="91"/>
        <v>152.10381166061316</v>
      </c>
      <c r="J182" s="154">
        <f t="shared" si="91"/>
        <v>151.10843964311317</v>
      </c>
      <c r="K182" s="154">
        <f t="shared" si="91"/>
        <v>150.11313904661318</v>
      </c>
      <c r="L182" s="154">
        <f t="shared" si="91"/>
        <v>149.11782416591319</v>
      </c>
      <c r="M182" s="154">
        <f t="shared" si="91"/>
        <v>148.12251214205315</v>
      </c>
      <c r="N182" s="154">
        <f t="shared" si="91"/>
        <v>147.12719954682518</v>
      </c>
      <c r="O182" s="154">
        <f t="shared" si="91"/>
        <v>146.13188706587076</v>
      </c>
      <c r="P182" s="56"/>
      <c r="Q182" s="56"/>
    </row>
    <row r="183" spans="1:17" ht="6.75" customHeight="1" x14ac:dyDescent="0.2">
      <c r="A183" s="177"/>
      <c r="B183" s="248"/>
      <c r="C183" s="248"/>
      <c r="D183" s="248"/>
      <c r="E183" s="248"/>
      <c r="F183" s="248"/>
      <c r="G183" s="248"/>
      <c r="H183" s="248"/>
      <c r="I183" s="248"/>
      <c r="J183" s="248"/>
      <c r="K183" s="248"/>
      <c r="L183" s="248"/>
      <c r="M183" s="248"/>
      <c r="N183" s="248"/>
      <c r="O183" s="248"/>
      <c r="P183" s="56"/>
      <c r="Q183" s="56"/>
    </row>
    <row r="184" spans="1:17" ht="13.5" thickBot="1" x14ac:dyDescent="0.25">
      <c r="A184" s="170" t="s">
        <v>210</v>
      </c>
      <c r="B184" s="246">
        <f t="shared" ref="B184:O184" si="92">B167+B176+B182</f>
        <v>10118.550743455189</v>
      </c>
      <c r="C184" s="246">
        <f t="shared" si="92"/>
        <v>9730.9769272307385</v>
      </c>
      <c r="D184" s="246">
        <f t="shared" si="92"/>
        <v>9413.638507959904</v>
      </c>
      <c r="E184" s="246">
        <f t="shared" si="92"/>
        <v>9088.4884168140743</v>
      </c>
      <c r="F184" s="246">
        <f t="shared" si="92"/>
        <v>9347.531257008648</v>
      </c>
      <c r="G184" s="246">
        <f t="shared" si="92"/>
        <v>9976.9411213282219</v>
      </c>
      <c r="H184" s="246">
        <f t="shared" si="92"/>
        <v>10612.721580822799</v>
      </c>
      <c r="I184" s="246">
        <f t="shared" si="92"/>
        <v>11254.871921282374</v>
      </c>
      <c r="J184" s="246">
        <f t="shared" si="92"/>
        <v>11903.392285548949</v>
      </c>
      <c r="K184" s="246">
        <f t="shared" si="92"/>
        <v>12558.282645054125</v>
      </c>
      <c r="L184" s="246">
        <f t="shared" si="92"/>
        <v>13219.543005511579</v>
      </c>
      <c r="M184" s="246">
        <f t="shared" si="92"/>
        <v>13887.173365778579</v>
      </c>
      <c r="N184" s="246">
        <f t="shared" si="92"/>
        <v>14561.173726083671</v>
      </c>
      <c r="O184" s="246">
        <f t="shared" si="92"/>
        <v>15241.544086381142</v>
      </c>
      <c r="P184" s="56"/>
      <c r="Q184" s="56"/>
    </row>
    <row r="185" spans="1:17" ht="13.5" thickTop="1" x14ac:dyDescent="0.2">
      <c r="A185" s="149"/>
      <c r="B185" s="145"/>
      <c r="C185" s="145"/>
      <c r="D185" s="145"/>
      <c r="E185" s="145"/>
      <c r="F185" s="145"/>
      <c r="G185" s="145"/>
      <c r="H185" s="145"/>
      <c r="I185" s="145"/>
      <c r="J185" s="145"/>
      <c r="K185" s="145"/>
      <c r="L185" s="145"/>
      <c r="M185" s="145"/>
      <c r="N185" s="145"/>
      <c r="O185" s="145"/>
      <c r="P185" s="56"/>
      <c r="Q185" s="56"/>
    </row>
    <row r="186" spans="1:17" ht="20.25" x14ac:dyDescent="0.3">
      <c r="A186" s="72" t="str">
        <f>Assumptions!B3</f>
        <v>simulation water company</v>
      </c>
      <c r="B186" s="55"/>
      <c r="C186" s="62"/>
      <c r="D186" s="145"/>
      <c r="E186" s="147"/>
      <c r="F186" s="145"/>
      <c r="G186" s="145"/>
      <c r="H186" s="145"/>
      <c r="I186" s="145"/>
      <c r="J186" s="145"/>
      <c r="K186" s="145"/>
      <c r="L186" s="145"/>
      <c r="M186" s="145"/>
      <c r="N186" s="145"/>
      <c r="O186" s="145"/>
      <c r="P186" s="56"/>
      <c r="Q186" s="56"/>
    </row>
    <row r="187" spans="1:17" ht="12.75" x14ac:dyDescent="0.2">
      <c r="A187" s="145"/>
      <c r="B187" s="145"/>
      <c r="C187" s="145"/>
      <c r="D187" s="145"/>
      <c r="E187" s="145"/>
      <c r="F187" s="145"/>
      <c r="G187" s="145"/>
      <c r="H187" s="145"/>
      <c r="I187" s="145"/>
      <c r="J187" s="145"/>
      <c r="K187" s="145"/>
      <c r="L187" s="145"/>
      <c r="M187" s="145"/>
      <c r="N187" s="145"/>
      <c r="O187" s="145"/>
      <c r="P187" s="56"/>
      <c r="Q187" s="56"/>
    </row>
    <row r="188" spans="1:17" ht="18" x14ac:dyDescent="0.25">
      <c r="A188" s="63" t="s">
        <v>211</v>
      </c>
      <c r="B188" s="55"/>
      <c r="C188" s="145"/>
      <c r="D188" s="153"/>
      <c r="E188" s="147"/>
      <c r="F188" s="153"/>
      <c r="G188" s="153"/>
      <c r="H188" s="153"/>
      <c r="I188" s="145"/>
      <c r="J188" s="145"/>
      <c r="K188" s="145"/>
      <c r="L188" s="145"/>
      <c r="M188" s="145"/>
      <c r="N188" s="145"/>
      <c r="O188" s="145"/>
      <c r="P188" s="56"/>
      <c r="Q188" s="56"/>
    </row>
    <row r="189" spans="1:17" ht="12.75" x14ac:dyDescent="0.2">
      <c r="A189" s="153" t="str">
        <f>A137</f>
        <v>Million FMs</v>
      </c>
      <c r="B189" s="145"/>
      <c r="C189" s="145"/>
      <c r="D189" s="153"/>
      <c r="E189" s="146"/>
      <c r="F189" s="153"/>
      <c r="G189" s="147"/>
      <c r="H189" s="153"/>
      <c r="I189" s="145"/>
      <c r="J189" s="145"/>
      <c r="K189" s="145" t="str">
        <f>Assumptions!B9</f>
        <v>15,000 FMs = 1US$</v>
      </c>
      <c r="L189" s="451"/>
      <c r="M189" s="145"/>
      <c r="N189" s="145"/>
      <c r="O189" s="145"/>
      <c r="P189" s="56"/>
      <c r="Q189" s="56"/>
    </row>
    <row r="190" spans="1:17" s="472" customFormat="1" ht="12.75" x14ac:dyDescent="0.2">
      <c r="A190" s="77"/>
      <c r="B190" s="76">
        <f>Assumptions!B4+1</f>
        <v>2018</v>
      </c>
      <c r="C190" s="76">
        <f>B190+1</f>
        <v>2019</v>
      </c>
      <c r="D190" s="76">
        <f t="shared" ref="D190:O190" si="93">C190+1</f>
        <v>2020</v>
      </c>
      <c r="E190" s="76">
        <f t="shared" si="93"/>
        <v>2021</v>
      </c>
      <c r="F190" s="76">
        <f t="shared" si="93"/>
        <v>2022</v>
      </c>
      <c r="G190" s="76">
        <f t="shared" si="93"/>
        <v>2023</v>
      </c>
      <c r="H190" s="76">
        <f t="shared" si="93"/>
        <v>2024</v>
      </c>
      <c r="I190" s="76">
        <f t="shared" si="93"/>
        <v>2025</v>
      </c>
      <c r="J190" s="76">
        <f t="shared" si="93"/>
        <v>2026</v>
      </c>
      <c r="K190" s="76">
        <f t="shared" si="93"/>
        <v>2027</v>
      </c>
      <c r="L190" s="76">
        <f t="shared" si="93"/>
        <v>2028</v>
      </c>
      <c r="M190" s="76">
        <f t="shared" si="93"/>
        <v>2029</v>
      </c>
      <c r="N190" s="76">
        <f t="shared" si="93"/>
        <v>2030</v>
      </c>
      <c r="O190" s="76">
        <f t="shared" si="93"/>
        <v>2031</v>
      </c>
      <c r="P190" s="64"/>
      <c r="Q190" s="64"/>
    </row>
    <row r="191" spans="1:17" ht="12.75" x14ac:dyDescent="0.2">
      <c r="A191" s="152" t="str">
        <f>'Projects &amp; Financing'!A6</f>
        <v>Leakage Reduction Program</v>
      </c>
      <c r="B191" s="154">
        <f>'Projects &amp; Financing'!B6*Assumptions!B13</f>
        <v>0</v>
      </c>
      <c r="C191" s="154">
        <f>'Projects &amp; Financing'!C6*Assumptions!C13</f>
        <v>0</v>
      </c>
      <c r="D191" s="154">
        <f>'Projects &amp; Financing'!D6*Assumptions!D13</f>
        <v>0</v>
      </c>
      <c r="E191" s="154">
        <f>'Projects &amp; Financing'!E6*Assumptions!E13</f>
        <v>0</v>
      </c>
      <c r="F191" s="154">
        <f>'Projects &amp; Financing'!F6*Assumptions!F13</f>
        <v>0</v>
      </c>
      <c r="G191" s="154">
        <f>'Projects &amp; Financing'!G6*Assumptions!G13</f>
        <v>0</v>
      </c>
      <c r="H191" s="154">
        <f>'Projects &amp; Financing'!H6*Assumptions!H13</f>
        <v>0</v>
      </c>
      <c r="I191" s="154">
        <f>'Projects &amp; Financing'!I6*Assumptions!I13</f>
        <v>0</v>
      </c>
      <c r="J191" s="154">
        <f>'Projects &amp; Financing'!J6*Assumptions!J13</f>
        <v>0</v>
      </c>
      <c r="K191" s="154">
        <f>'Projects &amp; Financing'!K6*Assumptions!K13</f>
        <v>0</v>
      </c>
      <c r="L191" s="154">
        <f>'Projects &amp; Financing'!L6*Assumptions!L13</f>
        <v>0</v>
      </c>
      <c r="M191" s="154">
        <f>'Projects &amp; Financing'!M6*Assumptions!M13</f>
        <v>0</v>
      </c>
      <c r="N191" s="154">
        <f>'Projects &amp; Financing'!N6*Assumptions!N13</f>
        <v>0</v>
      </c>
      <c r="O191" s="154">
        <f>'Projects &amp; Financing'!O6*Assumptions!O13</f>
        <v>0</v>
      </c>
      <c r="P191" s="56"/>
      <c r="Q191" s="56"/>
    </row>
    <row r="192" spans="1:17" ht="12.75" x14ac:dyDescent="0.2">
      <c r="A192" s="152" t="str">
        <f>'Projects &amp; Financing'!A7</f>
        <v>Customer Connection Program</v>
      </c>
      <c r="B192" s="154">
        <f>'Projects &amp; Financing'!B7*Assumptions!B13</f>
        <v>0</v>
      </c>
      <c r="C192" s="154">
        <f>'Projects &amp; Financing'!C7*Assumptions!C13</f>
        <v>0</v>
      </c>
      <c r="D192" s="154">
        <f>'Projects &amp; Financing'!D7*Assumptions!D13</f>
        <v>0</v>
      </c>
      <c r="E192" s="154">
        <f>'Projects &amp; Financing'!E7*Assumptions!E13</f>
        <v>0</v>
      </c>
      <c r="F192" s="154">
        <f>'Projects &amp; Financing'!F7*Assumptions!F13</f>
        <v>0</v>
      </c>
      <c r="G192" s="154">
        <f>'Projects &amp; Financing'!G7*Assumptions!G13</f>
        <v>0</v>
      </c>
      <c r="H192" s="154">
        <f>'Projects &amp; Financing'!H7*Assumptions!H13</f>
        <v>0</v>
      </c>
      <c r="I192" s="154">
        <f>'Projects &amp; Financing'!I7*Assumptions!I13</f>
        <v>0</v>
      </c>
      <c r="J192" s="154">
        <f>'Projects &amp; Financing'!J7*Assumptions!J13</f>
        <v>0</v>
      </c>
      <c r="K192" s="154">
        <f>'Projects &amp; Financing'!K7*Assumptions!K13</f>
        <v>0</v>
      </c>
      <c r="L192" s="154">
        <f>'Projects &amp; Financing'!L7*Assumptions!L13</f>
        <v>0</v>
      </c>
      <c r="M192" s="154">
        <f>'Projects &amp; Financing'!M7*Assumptions!M13</f>
        <v>0</v>
      </c>
      <c r="N192" s="154">
        <f>'Projects &amp; Financing'!N7*Assumptions!N13</f>
        <v>0</v>
      </c>
      <c r="O192" s="154">
        <f>'Projects &amp; Financing'!O7*Assumptions!O13</f>
        <v>0</v>
      </c>
      <c r="P192" s="56"/>
      <c r="Q192" s="56"/>
    </row>
    <row r="193" spans="1:17" ht="12.75" x14ac:dyDescent="0.2">
      <c r="A193" s="152" t="str">
        <f>'Projects &amp; Financing'!A8</f>
        <v>Increase Treatment Capacity</v>
      </c>
      <c r="B193" s="154">
        <f>'Projects &amp; Financing'!B8*Assumptions!B13</f>
        <v>0</v>
      </c>
      <c r="C193" s="154">
        <f>'Projects &amp; Financing'!C8*Assumptions!C13</f>
        <v>0</v>
      </c>
      <c r="D193" s="154">
        <f>'Projects &amp; Financing'!D8*Assumptions!D13</f>
        <v>0</v>
      </c>
      <c r="E193" s="154">
        <f>'Projects &amp; Financing'!E8*Assumptions!E13</f>
        <v>0</v>
      </c>
      <c r="F193" s="154">
        <f>'Projects &amp; Financing'!F8*Assumptions!F13</f>
        <v>0</v>
      </c>
      <c r="G193" s="154">
        <f>'Projects &amp; Financing'!G8*Assumptions!G13</f>
        <v>0</v>
      </c>
      <c r="H193" s="154">
        <f>'Projects &amp; Financing'!H8*Assumptions!H13</f>
        <v>0</v>
      </c>
      <c r="I193" s="154">
        <f>'Projects &amp; Financing'!I8*Assumptions!I13</f>
        <v>0</v>
      </c>
      <c r="J193" s="154">
        <f>'Projects &amp; Financing'!J8*Assumptions!J13</f>
        <v>0</v>
      </c>
      <c r="K193" s="154">
        <f>'Projects &amp; Financing'!K8*Assumptions!K13</f>
        <v>0</v>
      </c>
      <c r="L193" s="154">
        <f>'Projects &amp; Financing'!L8*Assumptions!L13</f>
        <v>0</v>
      </c>
      <c r="M193" s="154">
        <f>'Projects &amp; Financing'!M8*Assumptions!M13</f>
        <v>0</v>
      </c>
      <c r="N193" s="154">
        <f>'Projects &amp; Financing'!N8*Assumptions!N13</f>
        <v>0</v>
      </c>
      <c r="O193" s="154">
        <f>'Projects &amp; Financing'!O8*Assumptions!O13</f>
        <v>0</v>
      </c>
      <c r="P193" s="56"/>
      <c r="Q193" s="56"/>
    </row>
    <row r="194" spans="1:17" ht="12.75" x14ac:dyDescent="0.2">
      <c r="A194" s="152" t="str">
        <f>'Projects &amp; Financing'!A9</f>
        <v>Collection Program</v>
      </c>
      <c r="B194" s="154">
        <f>'Projects &amp; Financing'!B9*Assumptions!B13</f>
        <v>0</v>
      </c>
      <c r="C194" s="154">
        <f>'Projects &amp; Financing'!C9*Assumptions!C13</f>
        <v>0</v>
      </c>
      <c r="D194" s="154">
        <f>'Projects &amp; Financing'!D9*Assumptions!D13</f>
        <v>0</v>
      </c>
      <c r="E194" s="154">
        <f>'Projects &amp; Financing'!E9*Assumptions!E13</f>
        <v>0</v>
      </c>
      <c r="F194" s="154">
        <f>'Projects &amp; Financing'!F9*Assumptions!F13</f>
        <v>0</v>
      </c>
      <c r="G194" s="154">
        <f>'Projects &amp; Financing'!G9*Assumptions!G13</f>
        <v>0</v>
      </c>
      <c r="H194" s="154">
        <f>'Projects &amp; Financing'!H9*Assumptions!H13</f>
        <v>0</v>
      </c>
      <c r="I194" s="154">
        <f>'Projects &amp; Financing'!I9*Assumptions!I13</f>
        <v>0</v>
      </c>
      <c r="J194" s="154">
        <f>'Projects &amp; Financing'!J9*Assumptions!J13</f>
        <v>0</v>
      </c>
      <c r="K194" s="154">
        <f>'Projects &amp; Financing'!K9*Assumptions!K13</f>
        <v>0</v>
      </c>
      <c r="L194" s="154">
        <f>'Projects &amp; Financing'!L9*Assumptions!L13</f>
        <v>0</v>
      </c>
      <c r="M194" s="154">
        <f>'Projects &amp; Financing'!M9*Assumptions!M13</f>
        <v>0</v>
      </c>
      <c r="N194" s="154">
        <f>'Projects &amp; Financing'!N9*Assumptions!N13</f>
        <v>0</v>
      </c>
      <c r="O194" s="154">
        <f>'Projects &amp; Financing'!O9*Assumptions!O13</f>
        <v>0</v>
      </c>
      <c r="P194" s="56"/>
      <c r="Q194" s="56"/>
    </row>
    <row r="195" spans="1:17" ht="12.75" x14ac:dyDescent="0.2">
      <c r="A195" s="152" t="str">
        <f>'Projects &amp; Financing'!A10</f>
        <v>Tariff Increase</v>
      </c>
      <c r="B195" s="154">
        <f>'Projects &amp; Financing'!B10*Assumptions!B13</f>
        <v>0</v>
      </c>
      <c r="C195" s="154">
        <f>'Projects &amp; Financing'!C10*Assumptions!C13</f>
        <v>0</v>
      </c>
      <c r="D195" s="154">
        <f>'Projects &amp; Financing'!D10*Assumptions!D13</f>
        <v>0</v>
      </c>
      <c r="E195" s="154">
        <f>'Projects &amp; Financing'!E10*Assumptions!E13</f>
        <v>0</v>
      </c>
      <c r="F195" s="154">
        <f>'Projects &amp; Financing'!F10*Assumptions!F13</f>
        <v>0</v>
      </c>
      <c r="G195" s="154">
        <f>'Projects &amp; Financing'!G10*Assumptions!G13</f>
        <v>0</v>
      </c>
      <c r="H195" s="154">
        <f>'Projects &amp; Financing'!H10*Assumptions!H13</f>
        <v>0</v>
      </c>
      <c r="I195" s="154">
        <f>'Projects &amp; Financing'!I10*Assumptions!I13</f>
        <v>0</v>
      </c>
      <c r="J195" s="154">
        <f>'Projects &amp; Financing'!J10*Assumptions!J13</f>
        <v>0</v>
      </c>
      <c r="K195" s="154">
        <f>'Projects &amp; Financing'!K10*Assumptions!K13</f>
        <v>0</v>
      </c>
      <c r="L195" s="154">
        <f>'Projects &amp; Financing'!L10*Assumptions!L13</f>
        <v>0</v>
      </c>
      <c r="M195" s="154">
        <f>'Projects &amp; Financing'!M10*Assumptions!M13</f>
        <v>0</v>
      </c>
      <c r="N195" s="154">
        <f>'Projects &amp; Financing'!N10*Assumptions!N13</f>
        <v>0</v>
      </c>
      <c r="O195" s="154">
        <f>'Projects &amp; Financing'!O10*Assumptions!O13</f>
        <v>0</v>
      </c>
      <c r="P195" s="56"/>
      <c r="Q195" s="56"/>
    </row>
    <row r="196" spans="1:17" ht="12.75" x14ac:dyDescent="0.2">
      <c r="A196" s="152" t="str">
        <f>'Projects &amp; Financing'!A11</f>
        <v>Inventory Management</v>
      </c>
      <c r="B196" s="154">
        <f>'Projects &amp; Financing'!B11*Assumptions!B13</f>
        <v>0</v>
      </c>
      <c r="C196" s="154">
        <f>'Projects &amp; Financing'!C11*Assumptions!C13</f>
        <v>0</v>
      </c>
      <c r="D196" s="154">
        <f>'Projects &amp; Financing'!D11*Assumptions!D13</f>
        <v>0</v>
      </c>
      <c r="E196" s="154">
        <f>'Projects &amp; Financing'!E11*Assumptions!E13</f>
        <v>0</v>
      </c>
      <c r="F196" s="154">
        <f>'Projects &amp; Financing'!F11*Assumptions!F13</f>
        <v>0</v>
      </c>
      <c r="G196" s="154">
        <f>'Projects &amp; Financing'!G11*Assumptions!G13</f>
        <v>0</v>
      </c>
      <c r="H196" s="154">
        <f>'Projects &amp; Financing'!H11*Assumptions!H13</f>
        <v>0</v>
      </c>
      <c r="I196" s="154">
        <f>'Projects &amp; Financing'!I11*Assumptions!I13</f>
        <v>0</v>
      </c>
      <c r="J196" s="154">
        <f>'Projects &amp; Financing'!J11*Assumptions!J13</f>
        <v>0</v>
      </c>
      <c r="K196" s="154">
        <f>'Projects &amp; Financing'!K11*Assumptions!K13</f>
        <v>0</v>
      </c>
      <c r="L196" s="154">
        <f>'Projects &amp; Financing'!L11*Assumptions!L13</f>
        <v>0</v>
      </c>
      <c r="M196" s="154">
        <f>'Projects &amp; Financing'!M11*Assumptions!M13</f>
        <v>0</v>
      </c>
      <c r="N196" s="154">
        <f>'Projects &amp; Financing'!N11*Assumptions!N13</f>
        <v>0</v>
      </c>
      <c r="O196" s="154">
        <f>'Projects &amp; Financing'!O11*Assumptions!O13</f>
        <v>0</v>
      </c>
      <c r="P196" s="56"/>
      <c r="Q196" s="56"/>
    </row>
    <row r="197" spans="1:17" ht="12.75" x14ac:dyDescent="0.2">
      <c r="A197" s="152" t="str">
        <f>'Projects &amp; Financing'!A12</f>
        <v>General Investment Program</v>
      </c>
      <c r="B197" s="154">
        <f>'Projects &amp; Financing'!B12*Assumptions!B13</f>
        <v>0</v>
      </c>
      <c r="C197" s="154">
        <f>'Projects &amp; Financing'!C12*Assumptions!C13</f>
        <v>0</v>
      </c>
      <c r="D197" s="154">
        <f>'Projects &amp; Financing'!D12*Assumptions!D13</f>
        <v>0</v>
      </c>
      <c r="E197" s="154">
        <f>'Projects &amp; Financing'!E12*Assumptions!E13</f>
        <v>0</v>
      </c>
      <c r="F197" s="154">
        <f>'Projects &amp; Financing'!F12*Assumptions!F13</f>
        <v>0</v>
      </c>
      <c r="G197" s="154">
        <f>'Projects &amp; Financing'!G12*Assumptions!G13</f>
        <v>0</v>
      </c>
      <c r="H197" s="154">
        <f>'Projects &amp; Financing'!H12*Assumptions!H13</f>
        <v>0</v>
      </c>
      <c r="I197" s="154">
        <f>'Projects &amp; Financing'!I12*Assumptions!I13</f>
        <v>0</v>
      </c>
      <c r="J197" s="154">
        <f>'Projects &amp; Financing'!J12*Assumptions!J13</f>
        <v>0</v>
      </c>
      <c r="K197" s="154">
        <f>'Projects &amp; Financing'!K12*Assumptions!K13</f>
        <v>0</v>
      </c>
      <c r="L197" s="154">
        <f>'Projects &amp; Financing'!L12*Assumptions!L13</f>
        <v>0</v>
      </c>
      <c r="M197" s="154">
        <f>'Projects &amp; Financing'!M12*Assumptions!M13</f>
        <v>0</v>
      </c>
      <c r="N197" s="154">
        <f>'Projects &amp; Financing'!N12*Assumptions!N13</f>
        <v>0</v>
      </c>
      <c r="O197" s="154">
        <f>'Projects &amp; Financing'!O12*Assumptions!O13</f>
        <v>0</v>
      </c>
      <c r="P197" s="56"/>
      <c r="Q197" s="56"/>
    </row>
    <row r="198" spans="1:17" ht="10.5" customHeight="1" x14ac:dyDescent="0.2">
      <c r="A198" s="166"/>
      <c r="B198" s="166"/>
      <c r="C198" s="166"/>
      <c r="D198" s="166"/>
      <c r="E198" s="166"/>
      <c r="F198" s="166"/>
      <c r="G198" s="166"/>
      <c r="H198" s="166"/>
      <c r="I198" s="166"/>
      <c r="J198" s="166"/>
      <c r="K198" s="166"/>
      <c r="L198" s="166"/>
      <c r="M198" s="166"/>
      <c r="N198" s="166"/>
      <c r="O198" s="166"/>
      <c r="P198" s="56"/>
      <c r="Q198" s="56"/>
    </row>
    <row r="199" spans="1:17" ht="15.75" x14ac:dyDescent="0.25">
      <c r="A199" s="178" t="s">
        <v>211</v>
      </c>
      <c r="B199" s="160">
        <f t="shared" ref="B199:O199" si="94">SUM(B191:B198)</f>
        <v>0</v>
      </c>
      <c r="C199" s="160">
        <f t="shared" si="94"/>
        <v>0</v>
      </c>
      <c r="D199" s="160">
        <f t="shared" si="94"/>
        <v>0</v>
      </c>
      <c r="E199" s="160">
        <f t="shared" si="94"/>
        <v>0</v>
      </c>
      <c r="F199" s="160">
        <f t="shared" si="94"/>
        <v>0</v>
      </c>
      <c r="G199" s="160">
        <f t="shared" si="94"/>
        <v>0</v>
      </c>
      <c r="H199" s="160">
        <f t="shared" si="94"/>
        <v>0</v>
      </c>
      <c r="I199" s="160">
        <f t="shared" si="94"/>
        <v>0</v>
      </c>
      <c r="J199" s="160">
        <f t="shared" si="94"/>
        <v>0</v>
      </c>
      <c r="K199" s="160">
        <f t="shared" si="94"/>
        <v>0</v>
      </c>
      <c r="L199" s="160">
        <f t="shared" si="94"/>
        <v>0</v>
      </c>
      <c r="M199" s="160">
        <f t="shared" si="94"/>
        <v>0</v>
      </c>
      <c r="N199" s="160">
        <f t="shared" si="94"/>
        <v>0</v>
      </c>
      <c r="O199" s="160">
        <f t="shared" si="94"/>
        <v>0</v>
      </c>
      <c r="P199" s="56"/>
      <c r="Q199" s="56"/>
    </row>
    <row r="200" spans="1:17" ht="12.75" x14ac:dyDescent="0.2">
      <c r="A200" s="149"/>
      <c r="B200" s="145"/>
      <c r="C200" s="145"/>
      <c r="D200" s="145"/>
      <c r="E200" s="145"/>
      <c r="F200" s="145"/>
      <c r="G200" s="145"/>
      <c r="H200" s="145"/>
      <c r="I200" s="145"/>
      <c r="J200" s="145"/>
      <c r="K200" s="145"/>
      <c r="L200" s="145"/>
      <c r="M200" s="145"/>
      <c r="N200" s="145"/>
      <c r="O200" s="145"/>
      <c r="P200" s="56"/>
      <c r="Q200" s="56"/>
    </row>
    <row r="201" spans="1:17" ht="20.25" x14ac:dyDescent="0.3">
      <c r="A201" s="72" t="str">
        <f>Assumptions!B3</f>
        <v>simulation water company</v>
      </c>
      <c r="B201" s="55"/>
      <c r="C201" s="55"/>
      <c r="D201" s="145"/>
      <c r="E201" s="147"/>
      <c r="F201" s="145"/>
      <c r="G201" s="145"/>
      <c r="H201" s="145"/>
      <c r="I201" s="145"/>
      <c r="J201" s="145"/>
      <c r="K201" s="145"/>
      <c r="L201" s="145"/>
      <c r="M201" s="145"/>
      <c r="N201" s="145"/>
      <c r="O201" s="145"/>
      <c r="P201" s="56"/>
      <c r="Q201" s="56"/>
    </row>
    <row r="202" spans="1:17" ht="12.75" x14ac:dyDescent="0.2">
      <c r="A202" s="145"/>
      <c r="B202" s="145"/>
      <c r="C202" s="145"/>
      <c r="D202" s="145"/>
      <c r="E202" s="145"/>
      <c r="F202" s="145"/>
      <c r="G202" s="145"/>
      <c r="H202" s="145"/>
      <c r="I202" s="145"/>
      <c r="J202" s="145"/>
      <c r="K202" s="145"/>
      <c r="L202" s="145"/>
      <c r="M202" s="145"/>
      <c r="N202" s="145"/>
      <c r="O202" s="145"/>
      <c r="P202" s="56"/>
      <c r="Q202" s="56"/>
    </row>
    <row r="203" spans="1:17" ht="17.25" x14ac:dyDescent="0.25">
      <c r="A203" s="270" t="s">
        <v>212</v>
      </c>
      <c r="B203" s="143"/>
      <c r="C203" s="143"/>
      <c r="D203" s="168"/>
      <c r="E203" s="147"/>
      <c r="F203" s="153"/>
      <c r="G203" s="153"/>
      <c r="H203" s="153"/>
      <c r="I203" s="145"/>
      <c r="J203" s="145"/>
      <c r="K203" s="145"/>
      <c r="L203" s="145"/>
      <c r="M203" s="145"/>
      <c r="N203" s="145"/>
      <c r="O203" s="145"/>
      <c r="P203" s="56"/>
      <c r="Q203" s="56"/>
    </row>
    <row r="204" spans="1:17" ht="12.75" x14ac:dyDescent="0.2">
      <c r="A204" s="153" t="str">
        <f>A189</f>
        <v>Million FMs</v>
      </c>
      <c r="B204" s="145"/>
      <c r="C204" s="145"/>
      <c r="D204" s="153"/>
      <c r="E204" s="146"/>
      <c r="F204" s="153"/>
      <c r="G204" s="147"/>
      <c r="H204" s="153"/>
      <c r="I204" s="145"/>
      <c r="J204" s="145"/>
      <c r="K204" s="145" t="str">
        <f>Assumptions!B9</f>
        <v>15,000 FMs = 1US$</v>
      </c>
      <c r="L204" s="451"/>
      <c r="M204" s="145"/>
      <c r="N204" s="145"/>
      <c r="O204" s="145"/>
      <c r="P204" s="56"/>
      <c r="Q204" s="56"/>
    </row>
    <row r="205" spans="1:17" s="472" customFormat="1" ht="12.75" x14ac:dyDescent="0.2">
      <c r="A205" s="75"/>
      <c r="B205" s="76">
        <f>Assumptions!B4+1</f>
        <v>2018</v>
      </c>
      <c r="C205" s="76">
        <f>B205+1</f>
        <v>2019</v>
      </c>
      <c r="D205" s="76">
        <f t="shared" ref="D205:O205" si="95">C205+1</f>
        <v>2020</v>
      </c>
      <c r="E205" s="76">
        <f t="shared" si="95"/>
        <v>2021</v>
      </c>
      <c r="F205" s="76">
        <f t="shared" si="95"/>
        <v>2022</v>
      </c>
      <c r="G205" s="76">
        <f t="shared" si="95"/>
        <v>2023</v>
      </c>
      <c r="H205" s="76">
        <f t="shared" si="95"/>
        <v>2024</v>
      </c>
      <c r="I205" s="76">
        <f t="shared" si="95"/>
        <v>2025</v>
      </c>
      <c r="J205" s="76">
        <f t="shared" si="95"/>
        <v>2026</v>
      </c>
      <c r="K205" s="76">
        <f t="shared" si="95"/>
        <v>2027</v>
      </c>
      <c r="L205" s="76">
        <f t="shared" si="95"/>
        <v>2028</v>
      </c>
      <c r="M205" s="76">
        <f t="shared" si="95"/>
        <v>2029</v>
      </c>
      <c r="N205" s="76">
        <f t="shared" si="95"/>
        <v>2030</v>
      </c>
      <c r="O205" s="76">
        <f t="shared" si="95"/>
        <v>2031</v>
      </c>
      <c r="P205" s="64"/>
      <c r="Q205" s="64"/>
    </row>
    <row r="206" spans="1:17" ht="15.75" x14ac:dyDescent="0.25">
      <c r="A206" s="179" t="s">
        <v>174</v>
      </c>
      <c r="B206" s="166"/>
      <c r="C206" s="166"/>
      <c r="D206" s="166"/>
      <c r="E206" s="166"/>
      <c r="F206" s="166"/>
      <c r="G206" s="166"/>
      <c r="H206" s="166"/>
      <c r="I206" s="166"/>
      <c r="J206" s="166"/>
      <c r="K206" s="166"/>
      <c r="L206" s="166"/>
      <c r="M206" s="166"/>
      <c r="N206" s="166"/>
      <c r="O206" s="166"/>
      <c r="P206" s="56"/>
      <c r="Q206" s="56"/>
    </row>
    <row r="207" spans="1:17" ht="12.75" x14ac:dyDescent="0.2">
      <c r="A207" s="180" t="s">
        <v>71</v>
      </c>
      <c r="B207" s="238">
        <f>'Opening Positions'!G13</f>
        <v>3600</v>
      </c>
      <c r="C207" s="238">
        <f t="shared" ref="C207:O207" si="96">B213</f>
        <v>2800</v>
      </c>
      <c r="D207" s="238">
        <f t="shared" si="96"/>
        <v>2000</v>
      </c>
      <c r="E207" s="238">
        <f t="shared" si="96"/>
        <v>1200</v>
      </c>
      <c r="F207" s="238">
        <f t="shared" si="96"/>
        <v>400</v>
      </c>
      <c r="G207" s="238">
        <f t="shared" si="96"/>
        <v>100</v>
      </c>
      <c r="H207" s="238">
        <f t="shared" si="96"/>
        <v>100</v>
      </c>
      <c r="I207" s="238">
        <f t="shared" si="96"/>
        <v>100</v>
      </c>
      <c r="J207" s="238">
        <f t="shared" si="96"/>
        <v>100</v>
      </c>
      <c r="K207" s="238">
        <f t="shared" si="96"/>
        <v>100</v>
      </c>
      <c r="L207" s="238">
        <f t="shared" si="96"/>
        <v>100</v>
      </c>
      <c r="M207" s="238">
        <f t="shared" si="96"/>
        <v>100</v>
      </c>
      <c r="N207" s="238">
        <f t="shared" si="96"/>
        <v>100</v>
      </c>
      <c r="O207" s="238">
        <f t="shared" si="96"/>
        <v>100</v>
      </c>
      <c r="P207" s="56"/>
      <c r="Q207" s="56"/>
    </row>
    <row r="208" spans="1:17" ht="12.75" x14ac:dyDescent="0.2">
      <c r="A208" s="149" t="s">
        <v>86</v>
      </c>
      <c r="B208" s="154">
        <f>'Projects &amp; Financing'!B25</f>
        <v>0</v>
      </c>
      <c r="C208" s="154">
        <f>'Projects &amp; Financing'!C25</f>
        <v>0</v>
      </c>
      <c r="D208" s="154">
        <f>'Projects &amp; Financing'!D25</f>
        <v>0</v>
      </c>
      <c r="E208" s="154">
        <f>'Projects &amp; Financing'!E25</f>
        <v>0</v>
      </c>
      <c r="F208" s="154">
        <f>'Projects &amp; Financing'!F25</f>
        <v>0</v>
      </c>
      <c r="G208" s="154">
        <f>'Projects &amp; Financing'!G25</f>
        <v>0</v>
      </c>
      <c r="H208" s="154">
        <f>'Projects &amp; Financing'!H25</f>
        <v>0</v>
      </c>
      <c r="I208" s="154">
        <f>'Projects &amp; Financing'!I25</f>
        <v>0</v>
      </c>
      <c r="J208" s="154">
        <f>'Projects &amp; Financing'!J25</f>
        <v>0</v>
      </c>
      <c r="K208" s="154">
        <f>'Projects &amp; Financing'!K25</f>
        <v>0</v>
      </c>
      <c r="L208" s="154">
        <f>'Projects &amp; Financing'!L25</f>
        <v>0</v>
      </c>
      <c r="M208" s="154">
        <f>'Projects &amp; Financing'!M25</f>
        <v>0</v>
      </c>
      <c r="N208" s="154">
        <f>'Projects &amp; Financing'!N25</f>
        <v>0</v>
      </c>
      <c r="O208" s="154">
        <f>'Projects &amp; Financing'!O25</f>
        <v>0</v>
      </c>
      <c r="P208" s="56"/>
      <c r="Q208" s="56"/>
    </row>
    <row r="209" spans="1:17" ht="12.75" x14ac:dyDescent="0.2">
      <c r="A209" s="149" t="s">
        <v>87</v>
      </c>
      <c r="B209" s="154">
        <f>'Projects &amp; Financing'!B35</f>
        <v>300</v>
      </c>
      <c r="C209" s="154">
        <f>'Projects &amp; Financing'!C35</f>
        <v>290</v>
      </c>
      <c r="D209" s="154">
        <f>'Projects &amp; Financing'!D35</f>
        <v>270</v>
      </c>
      <c r="E209" s="154">
        <f>'Projects &amp; Financing'!E35</f>
        <v>200</v>
      </c>
      <c r="F209" s="154">
        <f>'Projects &amp; Financing'!F35</f>
        <v>80</v>
      </c>
      <c r="G209" s="154">
        <f>'Projects &amp; Financing'!G35</f>
        <v>0</v>
      </c>
      <c r="H209" s="154">
        <f>'Projects &amp; Financing'!H35</f>
        <v>0</v>
      </c>
      <c r="I209" s="154">
        <f>'Projects &amp; Financing'!I35</f>
        <v>0</v>
      </c>
      <c r="J209" s="154">
        <f>'Projects &amp; Financing'!J35</f>
        <v>0</v>
      </c>
      <c r="K209" s="154">
        <f>'Projects &amp; Financing'!K35</f>
        <v>0</v>
      </c>
      <c r="L209" s="154">
        <f>'Projects &amp; Financing'!L35</f>
        <v>0</v>
      </c>
      <c r="M209" s="154">
        <f>'Projects &amp; Financing'!M35</f>
        <v>0</v>
      </c>
      <c r="N209" s="154">
        <f>'Projects &amp; Financing'!N35</f>
        <v>0</v>
      </c>
      <c r="O209" s="154">
        <f>'Projects &amp; Financing'!O35</f>
        <v>0</v>
      </c>
      <c r="P209" s="56"/>
      <c r="Q209" s="56"/>
    </row>
    <row r="210" spans="1:17" ht="12.75" x14ac:dyDescent="0.2">
      <c r="A210" s="149" t="s">
        <v>88</v>
      </c>
      <c r="B210" s="154">
        <f>'Projects &amp; Financing'!B36</f>
        <v>0</v>
      </c>
      <c r="C210" s="154">
        <f>'Projects &amp; Financing'!C36</f>
        <v>0</v>
      </c>
      <c r="D210" s="154">
        <f>'Projects &amp; Financing'!D36</f>
        <v>0</v>
      </c>
      <c r="E210" s="154">
        <f>'Projects &amp; Financing'!E36</f>
        <v>0</v>
      </c>
      <c r="F210" s="154">
        <f>'Projects &amp; Financing'!F36</f>
        <v>0</v>
      </c>
      <c r="G210" s="154">
        <f>'Projects &amp; Financing'!G36</f>
        <v>0</v>
      </c>
      <c r="H210" s="154">
        <f>'Projects &amp; Financing'!H36</f>
        <v>0</v>
      </c>
      <c r="I210" s="154">
        <f>'Projects &amp; Financing'!I36</f>
        <v>0</v>
      </c>
      <c r="J210" s="154">
        <f>'Projects &amp; Financing'!J36</f>
        <v>0</v>
      </c>
      <c r="K210" s="154">
        <f>'Projects &amp; Financing'!K36</f>
        <v>0</v>
      </c>
      <c r="L210" s="154">
        <f>'Projects &amp; Financing'!L36</f>
        <v>0</v>
      </c>
      <c r="M210" s="154">
        <f>'Projects &amp; Financing'!M36</f>
        <v>0</v>
      </c>
      <c r="N210" s="154">
        <f>'Projects &amp; Financing'!N36</f>
        <v>0</v>
      </c>
      <c r="O210" s="154">
        <f>'Projects &amp; Financing'!O36</f>
        <v>0</v>
      </c>
      <c r="P210" s="56"/>
      <c r="Q210" s="56"/>
    </row>
    <row r="211" spans="1:17" ht="12.75" x14ac:dyDescent="0.2">
      <c r="A211" s="149" t="s">
        <v>89</v>
      </c>
      <c r="B211" s="154">
        <f>'Projects &amp; Financing'!B37</f>
        <v>300</v>
      </c>
      <c r="C211" s="154">
        <f>'Projects &amp; Financing'!C37</f>
        <v>290</v>
      </c>
      <c r="D211" s="154">
        <f>'Projects &amp; Financing'!D37</f>
        <v>270</v>
      </c>
      <c r="E211" s="154">
        <f>'Projects &amp; Financing'!E37</f>
        <v>200</v>
      </c>
      <c r="F211" s="154">
        <f>'Projects &amp; Financing'!F37</f>
        <v>80</v>
      </c>
      <c r="G211" s="154">
        <f>'Projects &amp; Financing'!G37</f>
        <v>0</v>
      </c>
      <c r="H211" s="154">
        <f>'Projects &amp; Financing'!H37</f>
        <v>0</v>
      </c>
      <c r="I211" s="154">
        <f>'Projects &amp; Financing'!I37</f>
        <v>0</v>
      </c>
      <c r="J211" s="154">
        <f>'Projects &amp; Financing'!J37</f>
        <v>0</v>
      </c>
      <c r="K211" s="154">
        <f>'Projects &amp; Financing'!K37</f>
        <v>0</v>
      </c>
      <c r="L211" s="154">
        <f>'Projects &amp; Financing'!L37</f>
        <v>0</v>
      </c>
      <c r="M211" s="154">
        <f>'Projects &amp; Financing'!M37</f>
        <v>0</v>
      </c>
      <c r="N211" s="154">
        <f>'Projects &amp; Financing'!N37</f>
        <v>0</v>
      </c>
      <c r="O211" s="154">
        <f>'Projects &amp; Financing'!O37</f>
        <v>0</v>
      </c>
      <c r="P211" s="56"/>
      <c r="Q211" s="56"/>
    </row>
    <row r="212" spans="1:17" ht="12.75" x14ac:dyDescent="0.2">
      <c r="A212" s="149" t="s">
        <v>90</v>
      </c>
      <c r="B212" s="154">
        <f>'Projects &amp; Financing'!B38</f>
        <v>800</v>
      </c>
      <c r="C212" s="154">
        <f>'Projects &amp; Financing'!C38</f>
        <v>800</v>
      </c>
      <c r="D212" s="154">
        <f>'Projects &amp; Financing'!D38</f>
        <v>800</v>
      </c>
      <c r="E212" s="154">
        <f>'Projects &amp; Financing'!E38</f>
        <v>800</v>
      </c>
      <c r="F212" s="154">
        <f>'Projects &amp; Financing'!F38</f>
        <v>300</v>
      </c>
      <c r="G212" s="154">
        <f>'Projects &amp; Financing'!G38</f>
        <v>0</v>
      </c>
      <c r="H212" s="154">
        <f>'Projects &amp; Financing'!H38</f>
        <v>0</v>
      </c>
      <c r="I212" s="154">
        <f>'Projects &amp; Financing'!I38</f>
        <v>0</v>
      </c>
      <c r="J212" s="154">
        <f>'Projects &amp; Financing'!J38</f>
        <v>0</v>
      </c>
      <c r="K212" s="154">
        <f>'Projects &amp; Financing'!K38</f>
        <v>0</v>
      </c>
      <c r="L212" s="154">
        <f>'Projects &amp; Financing'!L38</f>
        <v>0</v>
      </c>
      <c r="M212" s="154">
        <f>'Projects &amp; Financing'!M38</f>
        <v>0</v>
      </c>
      <c r="N212" s="154">
        <f>'Projects &amp; Financing'!N38</f>
        <v>0</v>
      </c>
      <c r="O212" s="154">
        <f>'Projects &amp; Financing'!O38</f>
        <v>0</v>
      </c>
      <c r="P212" s="56"/>
      <c r="Q212" s="56"/>
    </row>
    <row r="213" spans="1:17" ht="12.75" x14ac:dyDescent="0.2">
      <c r="A213" s="161" t="s">
        <v>91</v>
      </c>
      <c r="B213" s="162">
        <f>B207+B208-B212</f>
        <v>2800</v>
      </c>
      <c r="C213" s="162">
        <f t="shared" ref="C213:O213" si="97">C207+C208-C212</f>
        <v>2000</v>
      </c>
      <c r="D213" s="162">
        <f t="shared" si="97"/>
        <v>1200</v>
      </c>
      <c r="E213" s="162">
        <f t="shared" si="97"/>
        <v>400</v>
      </c>
      <c r="F213" s="162">
        <f t="shared" si="97"/>
        <v>100</v>
      </c>
      <c r="G213" s="162">
        <f t="shared" si="97"/>
        <v>100</v>
      </c>
      <c r="H213" s="162">
        <f t="shared" si="97"/>
        <v>100</v>
      </c>
      <c r="I213" s="162">
        <f t="shared" si="97"/>
        <v>100</v>
      </c>
      <c r="J213" s="162">
        <f t="shared" si="97"/>
        <v>100</v>
      </c>
      <c r="K213" s="162">
        <f t="shared" si="97"/>
        <v>100</v>
      </c>
      <c r="L213" s="162">
        <f t="shared" si="97"/>
        <v>100</v>
      </c>
      <c r="M213" s="162">
        <f t="shared" si="97"/>
        <v>100</v>
      </c>
      <c r="N213" s="162">
        <f t="shared" si="97"/>
        <v>100</v>
      </c>
      <c r="O213" s="162">
        <f t="shared" si="97"/>
        <v>100</v>
      </c>
      <c r="P213" s="56"/>
      <c r="Q213" s="56"/>
    </row>
    <row r="214" spans="1:17" ht="15.75" x14ac:dyDescent="0.25">
      <c r="A214" s="179" t="str">
        <f>'Projects &amp; Financing'!B43</f>
        <v>Loan1</v>
      </c>
      <c r="B214" s="162"/>
      <c r="C214" s="162"/>
      <c r="D214" s="162"/>
      <c r="E214" s="162"/>
      <c r="F214" s="162"/>
      <c r="G214" s="162"/>
      <c r="H214" s="162"/>
      <c r="I214" s="162"/>
      <c r="J214" s="162"/>
      <c r="K214" s="162"/>
      <c r="L214" s="162"/>
      <c r="M214" s="162"/>
      <c r="N214" s="162"/>
      <c r="O214" s="162"/>
      <c r="P214" s="56"/>
      <c r="Q214" s="56"/>
    </row>
    <row r="215" spans="1:17" s="473" customFormat="1" ht="12.75" x14ac:dyDescent="0.2">
      <c r="A215" s="181" t="s">
        <v>71</v>
      </c>
      <c r="B215" s="238">
        <f>'Opening Positions'!G11/1000</f>
        <v>0</v>
      </c>
      <c r="C215" s="238">
        <f t="shared" ref="C215:O215" si="98">B221</f>
        <v>0</v>
      </c>
      <c r="D215" s="238">
        <f t="shared" si="98"/>
        <v>0</v>
      </c>
      <c r="E215" s="238">
        <f t="shared" si="98"/>
        <v>0</v>
      </c>
      <c r="F215" s="238">
        <f t="shared" si="98"/>
        <v>0</v>
      </c>
      <c r="G215" s="238">
        <f t="shared" si="98"/>
        <v>0</v>
      </c>
      <c r="H215" s="238">
        <f t="shared" si="98"/>
        <v>0</v>
      </c>
      <c r="I215" s="238">
        <f t="shared" si="98"/>
        <v>0</v>
      </c>
      <c r="J215" s="238">
        <f t="shared" si="98"/>
        <v>0</v>
      </c>
      <c r="K215" s="238">
        <f t="shared" si="98"/>
        <v>0</v>
      </c>
      <c r="L215" s="238">
        <f t="shared" si="98"/>
        <v>0</v>
      </c>
      <c r="M215" s="238">
        <f t="shared" si="98"/>
        <v>0</v>
      </c>
      <c r="N215" s="238">
        <f t="shared" si="98"/>
        <v>0</v>
      </c>
      <c r="O215" s="238">
        <f t="shared" si="98"/>
        <v>0</v>
      </c>
      <c r="P215" s="65"/>
      <c r="Q215" s="65"/>
    </row>
    <row r="216" spans="1:17" ht="12.75" x14ac:dyDescent="0.2">
      <c r="A216" s="149" t="s">
        <v>86</v>
      </c>
      <c r="B216" s="154">
        <f>'Projects &amp; Financing'!B27</f>
        <v>0</v>
      </c>
      <c r="C216" s="154">
        <f>'Projects &amp; Financing'!C27</f>
        <v>0</v>
      </c>
      <c r="D216" s="154">
        <f>'Projects &amp; Financing'!D27</f>
        <v>0</v>
      </c>
      <c r="E216" s="154">
        <f>'Projects &amp; Financing'!E27</f>
        <v>0</v>
      </c>
      <c r="F216" s="154">
        <f>'Projects &amp; Financing'!F27</f>
        <v>0</v>
      </c>
      <c r="G216" s="154">
        <f>'Projects &amp; Financing'!G27</f>
        <v>0</v>
      </c>
      <c r="H216" s="154">
        <f>'Projects &amp; Financing'!H27</f>
        <v>0</v>
      </c>
      <c r="I216" s="154">
        <f>'Projects &amp; Financing'!I27</f>
        <v>0</v>
      </c>
      <c r="J216" s="154">
        <f>'Projects &amp; Financing'!J27</f>
        <v>0</v>
      </c>
      <c r="K216" s="154">
        <f>'Projects &amp; Financing'!K27</f>
        <v>0</v>
      </c>
      <c r="L216" s="154">
        <f>'Projects &amp; Financing'!L27</f>
        <v>0</v>
      </c>
      <c r="M216" s="154">
        <f>'Projects &amp; Financing'!M27</f>
        <v>0</v>
      </c>
      <c r="N216" s="154">
        <f>'Projects &amp; Financing'!N27</f>
        <v>0</v>
      </c>
      <c r="O216" s="154">
        <f>'Projects &amp; Financing'!O27</f>
        <v>0</v>
      </c>
      <c r="P216" s="56"/>
      <c r="Q216" s="56"/>
    </row>
    <row r="217" spans="1:17" ht="12.75" x14ac:dyDescent="0.2">
      <c r="A217" s="149" t="s">
        <v>87</v>
      </c>
      <c r="B217" s="154">
        <f t="shared" ref="B217:O217" si="99">B219-B218</f>
        <v>0</v>
      </c>
      <c r="C217" s="154">
        <f t="shared" si="99"/>
        <v>0</v>
      </c>
      <c r="D217" s="154">
        <f t="shared" si="99"/>
        <v>0</v>
      </c>
      <c r="E217" s="154">
        <f t="shared" si="99"/>
        <v>0</v>
      </c>
      <c r="F217" s="154">
        <f t="shared" si="99"/>
        <v>0</v>
      </c>
      <c r="G217" s="154">
        <f t="shared" si="99"/>
        <v>0</v>
      </c>
      <c r="H217" s="154">
        <f t="shared" si="99"/>
        <v>0</v>
      </c>
      <c r="I217" s="154">
        <f t="shared" si="99"/>
        <v>0</v>
      </c>
      <c r="J217" s="154">
        <f t="shared" si="99"/>
        <v>0</v>
      </c>
      <c r="K217" s="154">
        <f t="shared" si="99"/>
        <v>0</v>
      </c>
      <c r="L217" s="154">
        <f t="shared" si="99"/>
        <v>0</v>
      </c>
      <c r="M217" s="154">
        <f t="shared" si="99"/>
        <v>0</v>
      </c>
      <c r="N217" s="154">
        <f t="shared" si="99"/>
        <v>0</v>
      </c>
      <c r="O217" s="154">
        <f t="shared" si="99"/>
        <v>0</v>
      </c>
      <c r="P217" s="56"/>
      <c r="Q217" s="56"/>
    </row>
    <row r="218" spans="1:17" ht="12.75" x14ac:dyDescent="0.2">
      <c r="A218" s="149" t="s">
        <v>88</v>
      </c>
      <c r="B218" s="154">
        <f>B219*'Projects &amp; Financing'!B18</f>
        <v>0</v>
      </c>
      <c r="C218" s="154">
        <f>C219*'Projects &amp; Financing'!C18</f>
        <v>0</v>
      </c>
      <c r="D218" s="154">
        <f>D219*'Projects &amp; Financing'!D18</f>
        <v>0</v>
      </c>
      <c r="E218" s="154">
        <f>E219*'Projects &amp; Financing'!E18</f>
        <v>0</v>
      </c>
      <c r="F218" s="154">
        <f>F219*'Projects &amp; Financing'!F18</f>
        <v>0</v>
      </c>
      <c r="G218" s="154">
        <f>G219*'Projects &amp; Financing'!G18</f>
        <v>0</v>
      </c>
      <c r="H218" s="154">
        <f>H219*'Projects &amp; Financing'!H18</f>
        <v>0</v>
      </c>
      <c r="I218" s="154">
        <f>I219*'Projects &amp; Financing'!I18</f>
        <v>0</v>
      </c>
      <c r="J218" s="154">
        <f>J219*'Projects &amp; Financing'!J18</f>
        <v>0</v>
      </c>
      <c r="K218" s="154">
        <f>K219*'Projects &amp; Financing'!K18</f>
        <v>0</v>
      </c>
      <c r="L218" s="154">
        <f>L219*'Projects &amp; Financing'!L18</f>
        <v>0</v>
      </c>
      <c r="M218" s="154">
        <f>M219*'Projects &amp; Financing'!M18</f>
        <v>0</v>
      </c>
      <c r="N218" s="154">
        <f>N219*'Projects &amp; Financing'!N18</f>
        <v>0</v>
      </c>
      <c r="O218" s="154">
        <f>O219*'Projects &amp; Financing'!O18</f>
        <v>0</v>
      </c>
      <c r="P218" s="56"/>
      <c r="Q218" s="56"/>
    </row>
    <row r="219" spans="1:17" ht="12.75" x14ac:dyDescent="0.2">
      <c r="A219" s="149" t="s">
        <v>89</v>
      </c>
      <c r="B219" s="154">
        <f>IF(C205&lt;'Projects &amp; Financing'!$B$50,0,(B215+B221)/2*('Projects &amp; Financing'!$B$44))</f>
        <v>0</v>
      </c>
      <c r="C219" s="154">
        <f>IF(D205&lt;'Projects &amp; Financing'!$B$50,0,(C215+C221)/2*('Projects &amp; Financing'!$B$44))</f>
        <v>0</v>
      </c>
      <c r="D219" s="154">
        <f>IF(E205&lt;'Projects &amp; Financing'!$B$50,0,(D215+D221)/2*('Projects &amp; Financing'!$B$44))</f>
        <v>0</v>
      </c>
      <c r="E219" s="154">
        <f>IF(F205&lt;'Projects &amp; Financing'!$B$50,0,(E215+E221)/2*('Projects &amp; Financing'!$B$44))</f>
        <v>0</v>
      </c>
      <c r="F219" s="154">
        <f>IF(G205&lt;'Projects &amp; Financing'!$B$50,0,(F215+F221)/2*('Projects &amp; Financing'!$B$44))</f>
        <v>0</v>
      </c>
      <c r="G219" s="154">
        <f>IF(H205&lt;'Projects &amp; Financing'!$B$50,0,(G215+G221)/2*('Projects &amp; Financing'!$B$44))</f>
        <v>0</v>
      </c>
      <c r="H219" s="154">
        <f>IF(I205&lt;'Projects &amp; Financing'!$B$50,0,(H215+H221)/2*('Projects &amp; Financing'!$B$44))</f>
        <v>0</v>
      </c>
      <c r="I219" s="154">
        <f>IF(J205&lt;'Projects &amp; Financing'!$B$50,0,(I215+I221)/2*('Projects &amp; Financing'!$B$44))</f>
        <v>0</v>
      </c>
      <c r="J219" s="154">
        <f>IF(K205&lt;'Projects &amp; Financing'!$B$50,0,(J215+J221)/2*('Projects &amp; Financing'!$B$44))</f>
        <v>0</v>
      </c>
      <c r="K219" s="154">
        <f>IF(L205&lt;'Projects &amp; Financing'!$B$50,0,(K215+K221)/2*('Projects &amp; Financing'!$B$44))</f>
        <v>0</v>
      </c>
      <c r="L219" s="154">
        <f>IF(M205&lt;'Projects &amp; Financing'!$B$50,0,(L215+L221)/2*('Projects &amp; Financing'!$B$44))</f>
        <v>0</v>
      </c>
      <c r="M219" s="154">
        <f>IF(N205&lt;'Projects &amp; Financing'!$B$50,0,(M215+M221)/2*('Projects &amp; Financing'!$B$44))</f>
        <v>0</v>
      </c>
      <c r="N219" s="154">
        <f>IF(O205&lt;'Projects &amp; Financing'!$B$50,0,(N215+N221)/2*('Projects &amp; Financing'!$B$44))</f>
        <v>0</v>
      </c>
      <c r="O219" s="154">
        <f>IF(P205&lt;'Projects &amp; Financing'!$B$50,0,(O215+O221)/2*('Projects &amp; Financing'!$B$44))</f>
        <v>0</v>
      </c>
      <c r="P219" s="56"/>
      <c r="Q219" s="56"/>
    </row>
    <row r="220" spans="1:17" ht="12.75" x14ac:dyDescent="0.2">
      <c r="A220" s="149" t="s">
        <v>90</v>
      </c>
      <c r="B220" s="154">
        <f>IF(AND(B$205&gt;='Projects &amp; Financing'!$B$49,'Projects &amp; Financing'!$B$52&lt;=B215),+'Projects &amp; Financing'!$B$52,0)</f>
        <v>0</v>
      </c>
      <c r="C220" s="154">
        <f>IF(AND(C$205&gt;='Projects &amp; Financing'!$B$49,'Projects &amp; Financing'!$B$52&lt;=C215),+'Projects &amp; Financing'!$B$52,0)</f>
        <v>0</v>
      </c>
      <c r="D220" s="154">
        <f>IF(AND(D$205&gt;='Projects &amp; Financing'!$B$49,'Projects &amp; Financing'!$B$52&lt;=D215),+'Projects &amp; Financing'!$B$52,0)</f>
        <v>0</v>
      </c>
      <c r="E220" s="154">
        <f>IF(AND(E$205&gt;='Projects &amp; Financing'!$B$49,'Projects &amp; Financing'!$B$52&lt;=E215),+'Projects &amp; Financing'!$B$52,0)</f>
        <v>0</v>
      </c>
      <c r="F220" s="154">
        <f>IF(AND(F$205&gt;='Projects &amp; Financing'!$B$49,'Projects &amp; Financing'!$B$52&lt;=F215),+'Projects &amp; Financing'!$B$52,0)</f>
        <v>0</v>
      </c>
      <c r="G220" s="154">
        <f>IF(AND(G$205&gt;='Projects &amp; Financing'!$B$49,'Projects &amp; Financing'!$B$52&lt;=G215),+'Projects &amp; Financing'!$B$52,0)</f>
        <v>0</v>
      </c>
      <c r="H220" s="154">
        <f>IF(AND(H$205&gt;='Projects &amp; Financing'!$B$49,'Projects &amp; Financing'!$B$52&lt;=H215),+'Projects &amp; Financing'!$B$52,0)</f>
        <v>0</v>
      </c>
      <c r="I220" s="154">
        <f>IF(AND(I$205&gt;='Projects &amp; Financing'!$B$49,'Projects &amp; Financing'!$B$52&lt;=I215),+'Projects &amp; Financing'!$B$52,0)</f>
        <v>0</v>
      </c>
      <c r="J220" s="154">
        <f>IF(AND(J$205&gt;='Projects &amp; Financing'!$B$49,'Projects &amp; Financing'!$B$52&lt;=J215),+'Projects &amp; Financing'!$B$52,0)</f>
        <v>0</v>
      </c>
      <c r="K220" s="154">
        <f>IF(AND(K$205&gt;='Projects &amp; Financing'!$B$49,'Projects &amp; Financing'!$B$52&lt;=K215),+'Projects &amp; Financing'!$B$52,0)</f>
        <v>0</v>
      </c>
      <c r="L220" s="154">
        <f>IF(AND(L$205&gt;='Projects &amp; Financing'!$B$49,'Projects &amp; Financing'!$B$52&lt;=L215),+'Projects &amp; Financing'!$B$52,0)</f>
        <v>0</v>
      </c>
      <c r="M220" s="154">
        <f>IF(AND(M$205&gt;='Projects &amp; Financing'!$B$49,'Projects &amp; Financing'!$B$52&lt;=M215),+'Projects &amp; Financing'!$B$52,0)</f>
        <v>0</v>
      </c>
      <c r="N220" s="154">
        <f>IF(AND(N$205&gt;='Projects &amp; Financing'!$B$49,'Projects &amp; Financing'!$B$52&lt;=N215),+'Projects &amp; Financing'!$B$52,0)</f>
        <v>0</v>
      </c>
      <c r="O220" s="154">
        <f>IF(AND(O$205&gt;='Projects &amp; Financing'!$B$49,'Projects &amp; Financing'!$B$52&lt;=O215),+'Projects &amp; Financing'!$B$52,0)</f>
        <v>0</v>
      </c>
      <c r="P220" s="56"/>
      <c r="Q220" s="56"/>
    </row>
    <row r="221" spans="1:17" ht="12.75" x14ac:dyDescent="0.2">
      <c r="A221" s="161" t="s">
        <v>91</v>
      </c>
      <c r="B221" s="162">
        <f t="shared" ref="B221:O221" si="100">B215+B216-B220</f>
        <v>0</v>
      </c>
      <c r="C221" s="162">
        <f t="shared" si="100"/>
        <v>0</v>
      </c>
      <c r="D221" s="162">
        <f t="shared" si="100"/>
        <v>0</v>
      </c>
      <c r="E221" s="162">
        <f t="shared" si="100"/>
        <v>0</v>
      </c>
      <c r="F221" s="162">
        <f t="shared" si="100"/>
        <v>0</v>
      </c>
      <c r="G221" s="162">
        <f t="shared" si="100"/>
        <v>0</v>
      </c>
      <c r="H221" s="162">
        <f t="shared" si="100"/>
        <v>0</v>
      </c>
      <c r="I221" s="162">
        <f t="shared" si="100"/>
        <v>0</v>
      </c>
      <c r="J221" s="162">
        <f t="shared" si="100"/>
        <v>0</v>
      </c>
      <c r="K221" s="162">
        <f t="shared" si="100"/>
        <v>0</v>
      </c>
      <c r="L221" s="162">
        <f t="shared" si="100"/>
        <v>0</v>
      </c>
      <c r="M221" s="162">
        <f t="shared" si="100"/>
        <v>0</v>
      </c>
      <c r="N221" s="162">
        <f t="shared" si="100"/>
        <v>0</v>
      </c>
      <c r="O221" s="162">
        <f t="shared" si="100"/>
        <v>0</v>
      </c>
      <c r="P221" s="56"/>
      <c r="Q221" s="56"/>
    </row>
    <row r="222" spans="1:17" ht="18.75" customHeight="1" x14ac:dyDescent="0.25">
      <c r="A222" s="179" t="str">
        <f>'Projects &amp; Financing'!C43</f>
        <v>Loan2</v>
      </c>
      <c r="B222" s="162"/>
      <c r="C222" s="162"/>
      <c r="D222" s="162"/>
      <c r="E222" s="162"/>
      <c r="F222" s="162"/>
      <c r="G222" s="162"/>
      <c r="H222" s="162"/>
      <c r="I222" s="162"/>
      <c r="J222" s="162"/>
      <c r="K222" s="162"/>
      <c r="L222" s="162"/>
      <c r="M222" s="162"/>
      <c r="N222" s="162"/>
      <c r="O222" s="162"/>
      <c r="P222" s="56"/>
      <c r="Q222" s="56"/>
    </row>
    <row r="223" spans="1:17" s="473" customFormat="1" ht="12.75" x14ac:dyDescent="0.2">
      <c r="A223" s="181" t="s">
        <v>71</v>
      </c>
      <c r="B223" s="238">
        <f>'Opening Positions'!G12/1000</f>
        <v>0</v>
      </c>
      <c r="C223" s="238">
        <f t="shared" ref="C223:O223" si="101">B229</f>
        <v>0</v>
      </c>
      <c r="D223" s="238">
        <f t="shared" si="101"/>
        <v>0</v>
      </c>
      <c r="E223" s="238">
        <f t="shared" si="101"/>
        <v>0</v>
      </c>
      <c r="F223" s="238">
        <f t="shared" si="101"/>
        <v>0</v>
      </c>
      <c r="G223" s="238">
        <f t="shared" si="101"/>
        <v>0</v>
      </c>
      <c r="H223" s="238">
        <f t="shared" si="101"/>
        <v>0</v>
      </c>
      <c r="I223" s="238">
        <f t="shared" si="101"/>
        <v>0</v>
      </c>
      <c r="J223" s="238">
        <f t="shared" si="101"/>
        <v>0</v>
      </c>
      <c r="K223" s="238">
        <f t="shared" si="101"/>
        <v>0</v>
      </c>
      <c r="L223" s="238">
        <f t="shared" si="101"/>
        <v>0</v>
      </c>
      <c r="M223" s="238">
        <f t="shared" si="101"/>
        <v>0</v>
      </c>
      <c r="N223" s="238">
        <f t="shared" si="101"/>
        <v>0</v>
      </c>
      <c r="O223" s="238">
        <f t="shared" si="101"/>
        <v>0</v>
      </c>
      <c r="P223" s="65"/>
      <c r="Q223" s="65"/>
    </row>
    <row r="224" spans="1:17" ht="12.75" x14ac:dyDescent="0.2">
      <c r="A224" s="149" t="s">
        <v>86</v>
      </c>
      <c r="B224" s="154">
        <f>'Projects &amp; Financing'!B28</f>
        <v>0</v>
      </c>
      <c r="C224" s="154">
        <f>'Projects &amp; Financing'!C28</f>
        <v>0</v>
      </c>
      <c r="D224" s="154">
        <f>'Projects &amp; Financing'!D28</f>
        <v>0</v>
      </c>
      <c r="E224" s="154">
        <f>'Projects &amp; Financing'!E28</f>
        <v>0</v>
      </c>
      <c r="F224" s="154">
        <f>'Projects &amp; Financing'!F28</f>
        <v>0</v>
      </c>
      <c r="G224" s="154">
        <f>'Projects &amp; Financing'!G28</f>
        <v>0</v>
      </c>
      <c r="H224" s="154">
        <f>'Projects &amp; Financing'!H28</f>
        <v>0</v>
      </c>
      <c r="I224" s="154">
        <f>'Projects &amp; Financing'!I28</f>
        <v>0</v>
      </c>
      <c r="J224" s="154">
        <f>'Projects &amp; Financing'!J28</f>
        <v>0</v>
      </c>
      <c r="K224" s="154">
        <f>'Projects &amp; Financing'!K28</f>
        <v>0</v>
      </c>
      <c r="L224" s="154">
        <f>'Projects &amp; Financing'!L28</f>
        <v>0</v>
      </c>
      <c r="M224" s="154">
        <f>'Projects &amp; Financing'!M28</f>
        <v>0</v>
      </c>
      <c r="N224" s="154">
        <f>'Projects &amp; Financing'!N28</f>
        <v>0</v>
      </c>
      <c r="O224" s="154">
        <f>'Projects &amp; Financing'!O28</f>
        <v>0</v>
      </c>
      <c r="P224" s="56"/>
      <c r="Q224" s="56"/>
    </row>
    <row r="225" spans="1:17" ht="12.75" x14ac:dyDescent="0.2">
      <c r="A225" s="149" t="s">
        <v>87</v>
      </c>
      <c r="B225" s="154">
        <f t="shared" ref="B225:O225" si="102">B227-B226</f>
        <v>0</v>
      </c>
      <c r="C225" s="154">
        <f t="shared" si="102"/>
        <v>0</v>
      </c>
      <c r="D225" s="154">
        <f t="shared" si="102"/>
        <v>0</v>
      </c>
      <c r="E225" s="154">
        <f t="shared" si="102"/>
        <v>0</v>
      </c>
      <c r="F225" s="154">
        <f t="shared" si="102"/>
        <v>0</v>
      </c>
      <c r="G225" s="154">
        <f t="shared" si="102"/>
        <v>0</v>
      </c>
      <c r="H225" s="154">
        <f t="shared" si="102"/>
        <v>0</v>
      </c>
      <c r="I225" s="154">
        <f t="shared" si="102"/>
        <v>0</v>
      </c>
      <c r="J225" s="154">
        <f t="shared" si="102"/>
        <v>0</v>
      </c>
      <c r="K225" s="154">
        <f t="shared" si="102"/>
        <v>0</v>
      </c>
      <c r="L225" s="154">
        <f t="shared" si="102"/>
        <v>0</v>
      </c>
      <c r="M225" s="154">
        <f t="shared" si="102"/>
        <v>0</v>
      </c>
      <c r="N225" s="154">
        <f t="shared" si="102"/>
        <v>0</v>
      </c>
      <c r="O225" s="154">
        <f t="shared" si="102"/>
        <v>0</v>
      </c>
      <c r="P225" s="56"/>
      <c r="Q225" s="56"/>
    </row>
    <row r="226" spans="1:17" ht="12.75" x14ac:dyDescent="0.2">
      <c r="A226" s="149" t="s">
        <v>88</v>
      </c>
      <c r="B226" s="154">
        <f>B227*'Projects &amp; Financing'!B18</f>
        <v>0</v>
      </c>
      <c r="C226" s="154">
        <f>C227*'Projects &amp; Financing'!C18</f>
        <v>0</v>
      </c>
      <c r="D226" s="154">
        <f>D227*'Projects &amp; Financing'!D18</f>
        <v>0</v>
      </c>
      <c r="E226" s="154">
        <f>E227*'Projects &amp; Financing'!E18</f>
        <v>0</v>
      </c>
      <c r="F226" s="154">
        <f>F227*'Projects &amp; Financing'!F18</f>
        <v>0</v>
      </c>
      <c r="G226" s="154">
        <f>G227*'Projects &amp; Financing'!G18</f>
        <v>0</v>
      </c>
      <c r="H226" s="154">
        <f>H227*'Projects &amp; Financing'!H18</f>
        <v>0</v>
      </c>
      <c r="I226" s="154">
        <f>I227*'Projects &amp; Financing'!I18</f>
        <v>0</v>
      </c>
      <c r="J226" s="154">
        <f>J227*'Projects &amp; Financing'!J18</f>
        <v>0</v>
      </c>
      <c r="K226" s="154">
        <f>K227*'Projects &amp; Financing'!K18</f>
        <v>0</v>
      </c>
      <c r="L226" s="154">
        <f>L227*'Projects &amp; Financing'!L18</f>
        <v>0</v>
      </c>
      <c r="M226" s="154">
        <f>M227*'Projects &amp; Financing'!M18</f>
        <v>0</v>
      </c>
      <c r="N226" s="154">
        <f>N227*'Projects &amp; Financing'!N18</f>
        <v>0</v>
      </c>
      <c r="O226" s="154">
        <f>O227*'Projects &amp; Financing'!O18</f>
        <v>0</v>
      </c>
      <c r="P226" s="56"/>
      <c r="Q226" s="56"/>
    </row>
    <row r="227" spans="1:17" ht="12.75" x14ac:dyDescent="0.2">
      <c r="A227" s="149" t="s">
        <v>89</v>
      </c>
      <c r="B227" s="154">
        <f>IF(B205&lt;'Projects &amp; Financing'!$C$50,0,(B223+B229)/2*('Projects &amp; Financing'!$C$44))</f>
        <v>0</v>
      </c>
      <c r="C227" s="154">
        <f>IF(C205&lt;'Projects &amp; Financing'!$C$50,0,(C223+C229)/2*('Projects &amp; Financing'!$C$44))</f>
        <v>0</v>
      </c>
      <c r="D227" s="154">
        <f>IF(D205&lt;'Projects &amp; Financing'!$C$50,0,(D223+D229)/2*('Projects &amp; Financing'!$C$44))</f>
        <v>0</v>
      </c>
      <c r="E227" s="154">
        <f>IF(E205&lt;'Projects &amp; Financing'!$C$50,0,(E223+E229)/2*('Projects &amp; Financing'!$C$44))</f>
        <v>0</v>
      </c>
      <c r="F227" s="154">
        <f>IF(F205&lt;'Projects &amp; Financing'!$C$50,0,(F223+F229)/2*('Projects &amp; Financing'!$C$44))</f>
        <v>0</v>
      </c>
      <c r="G227" s="154">
        <f>IF(G205&lt;'Projects &amp; Financing'!$C$50,0,(G223+G229)/2*('Projects &amp; Financing'!$C$44))</f>
        <v>0</v>
      </c>
      <c r="H227" s="154">
        <f>IF(H205&lt;'Projects &amp; Financing'!$C$50,0,(H223+H229)/2*('Projects &amp; Financing'!$C$44))</f>
        <v>0</v>
      </c>
      <c r="I227" s="154">
        <f>IF(I205&lt;'Projects &amp; Financing'!$C$50,0,(I223+I229)/2*('Projects &amp; Financing'!$C$44))</f>
        <v>0</v>
      </c>
      <c r="J227" s="154">
        <f>IF(J205&lt;'Projects &amp; Financing'!$C$50,0,(J223+J229)/2*('Projects &amp; Financing'!$C$44))</f>
        <v>0</v>
      </c>
      <c r="K227" s="154">
        <f>IF(K205&lt;'Projects &amp; Financing'!$C$50,0,(K223+K229)/2*('Projects &amp; Financing'!$C$44))</f>
        <v>0</v>
      </c>
      <c r="L227" s="154">
        <f>IF(L205&lt;'Projects &amp; Financing'!$C$50,0,(L223+L229)/2*('Projects &amp; Financing'!$C$44))</f>
        <v>0</v>
      </c>
      <c r="M227" s="154">
        <f>IF(M205&lt;'Projects &amp; Financing'!$C$50,0,(M223+M229)/2*('Projects &amp; Financing'!$C$44))</f>
        <v>0</v>
      </c>
      <c r="N227" s="154">
        <f>IF(N205&lt;'Projects &amp; Financing'!$C$50,0,(N223+N229)/2*('Projects &amp; Financing'!$C$44))</f>
        <v>0</v>
      </c>
      <c r="O227" s="154">
        <f>IF(O205&lt;'Projects &amp; Financing'!$C$50,0,(O223+O229)/2*('Projects &amp; Financing'!$C$44))</f>
        <v>0</v>
      </c>
      <c r="P227" s="56"/>
      <c r="Q227" s="56"/>
    </row>
    <row r="228" spans="1:17" ht="12.75" x14ac:dyDescent="0.2">
      <c r="A228" s="149" t="s">
        <v>90</v>
      </c>
      <c r="B228" s="154">
        <f>IF(AND(B$205&gt;='Projects &amp; Financing'!$C$49,'Projects &amp; Financing'!$C$52&lt;=B223),+'Projects &amp; Financing'!$C$52,0)</f>
        <v>0</v>
      </c>
      <c r="C228" s="154">
        <f>IF(AND(C$205&gt;='Projects &amp; Financing'!$C$49,'Projects &amp; Financing'!$C$52&lt;=C223),+'Projects &amp; Financing'!$C$52,0)</f>
        <v>0</v>
      </c>
      <c r="D228" s="154">
        <f>IF(AND(D$205&gt;='Projects &amp; Financing'!$C$49,'Projects &amp; Financing'!$C$52&lt;=D223),+'Projects &amp; Financing'!$C$52,0)</f>
        <v>0</v>
      </c>
      <c r="E228" s="154">
        <f>IF(AND(E$205&gt;='Projects &amp; Financing'!$C$49,'Projects &amp; Financing'!$C$52&lt;=E223),+'Projects &amp; Financing'!$C$52,0)</f>
        <v>0</v>
      </c>
      <c r="F228" s="154">
        <f>IF(AND(F$205&gt;='Projects &amp; Financing'!$C$49,'Projects &amp; Financing'!$C$52&lt;=F223),+'Projects &amp; Financing'!$C$52,0)</f>
        <v>0</v>
      </c>
      <c r="G228" s="154">
        <f>IF(AND(G$205&gt;='Projects &amp; Financing'!$C$49,'Projects &amp; Financing'!$C$52&lt;=G223),+'Projects &amp; Financing'!$C$52,0)</f>
        <v>0</v>
      </c>
      <c r="H228" s="154">
        <f>IF(AND(H$205&gt;='Projects &amp; Financing'!$C$49,'Projects &amp; Financing'!$C$52&lt;=H223),+'Projects &amp; Financing'!$C$52,0)</f>
        <v>0</v>
      </c>
      <c r="I228" s="154">
        <f>IF(AND(I$205&gt;='Projects &amp; Financing'!$C$49,'Projects &amp; Financing'!$C$52&lt;=I223),+'Projects &amp; Financing'!$C$52,0)</f>
        <v>0</v>
      </c>
      <c r="J228" s="154">
        <f>IF(AND(J$205&gt;='Projects &amp; Financing'!$C$49,'Projects &amp; Financing'!$C$52&lt;=J223),+'Projects &amp; Financing'!$C$52,0)</f>
        <v>0</v>
      </c>
      <c r="K228" s="154">
        <f>IF(AND(K$205&gt;='Projects &amp; Financing'!$C$49,'Projects &amp; Financing'!$C$52&lt;=K223),+'Projects &amp; Financing'!$C$52,0)</f>
        <v>0</v>
      </c>
      <c r="L228" s="154">
        <f>IF(AND(L$205&gt;='Projects &amp; Financing'!$C$49,'Projects &amp; Financing'!$C$52&lt;=L223),+'Projects &amp; Financing'!$C$52,0)</f>
        <v>0</v>
      </c>
      <c r="M228" s="154">
        <f>IF(AND(M$205&gt;='Projects &amp; Financing'!$C$49,'Projects &amp; Financing'!$C$52&lt;=M223),+'Projects &amp; Financing'!$C$52,0)</f>
        <v>0</v>
      </c>
      <c r="N228" s="154">
        <f>IF(AND(N$205&gt;='Projects &amp; Financing'!$C$49,'Projects &amp; Financing'!$C$52&lt;=N223),+'Projects &amp; Financing'!$C$52,0)</f>
        <v>0</v>
      </c>
      <c r="O228" s="154">
        <f>IF(AND(O$205&gt;='Projects &amp; Financing'!$C$49,'Projects &amp; Financing'!$C$52&lt;=O223),+'Projects &amp; Financing'!$C$52,0)</f>
        <v>0</v>
      </c>
      <c r="P228" s="56"/>
      <c r="Q228" s="56"/>
    </row>
    <row r="229" spans="1:17" ht="12.75" x14ac:dyDescent="0.2">
      <c r="A229" s="161" t="s">
        <v>91</v>
      </c>
      <c r="B229" s="162">
        <f t="shared" ref="B229:O229" si="103">B223+B224-B228</f>
        <v>0</v>
      </c>
      <c r="C229" s="162">
        <f t="shared" si="103"/>
        <v>0</v>
      </c>
      <c r="D229" s="162">
        <f t="shared" si="103"/>
        <v>0</v>
      </c>
      <c r="E229" s="162">
        <f t="shared" si="103"/>
        <v>0</v>
      </c>
      <c r="F229" s="162">
        <f t="shared" si="103"/>
        <v>0</v>
      </c>
      <c r="G229" s="162">
        <f t="shared" si="103"/>
        <v>0</v>
      </c>
      <c r="H229" s="162">
        <f t="shared" si="103"/>
        <v>0</v>
      </c>
      <c r="I229" s="162">
        <f t="shared" si="103"/>
        <v>0</v>
      </c>
      <c r="J229" s="162">
        <f t="shared" si="103"/>
        <v>0</v>
      </c>
      <c r="K229" s="162">
        <f t="shared" si="103"/>
        <v>0</v>
      </c>
      <c r="L229" s="162">
        <f t="shared" si="103"/>
        <v>0</v>
      </c>
      <c r="M229" s="162">
        <f t="shared" si="103"/>
        <v>0</v>
      </c>
      <c r="N229" s="162">
        <f t="shared" si="103"/>
        <v>0</v>
      </c>
      <c r="O229" s="162">
        <f t="shared" si="103"/>
        <v>0</v>
      </c>
      <c r="P229" s="56"/>
      <c r="Q229" s="56"/>
    </row>
    <row r="230" spans="1:17" ht="18.75" customHeight="1" x14ac:dyDescent="0.25">
      <c r="A230" s="179" t="str">
        <f>'Projects &amp; Financing'!D43</f>
        <v>Loan3</v>
      </c>
      <c r="B230" s="162"/>
      <c r="C230" s="162"/>
      <c r="D230" s="162"/>
      <c r="E230" s="162"/>
      <c r="F230" s="162"/>
      <c r="G230" s="162"/>
      <c r="H230" s="162"/>
      <c r="I230" s="162"/>
      <c r="J230" s="162"/>
      <c r="K230" s="162"/>
      <c r="L230" s="162"/>
      <c r="M230" s="162"/>
      <c r="N230" s="162"/>
      <c r="O230" s="162"/>
      <c r="P230" s="56"/>
      <c r="Q230" s="56"/>
    </row>
    <row r="231" spans="1:17" s="473" customFormat="1" ht="12.75" x14ac:dyDescent="0.2">
      <c r="A231" s="181" t="s">
        <v>71</v>
      </c>
      <c r="B231" s="238">
        <f>'Opening Positions'!G14/1000</f>
        <v>0</v>
      </c>
      <c r="C231" s="238">
        <f t="shared" ref="C231:O231" si="104">B237</f>
        <v>0</v>
      </c>
      <c r="D231" s="238">
        <f t="shared" si="104"/>
        <v>0</v>
      </c>
      <c r="E231" s="238">
        <f t="shared" si="104"/>
        <v>0</v>
      </c>
      <c r="F231" s="238">
        <f t="shared" si="104"/>
        <v>0</v>
      </c>
      <c r="G231" s="238">
        <f t="shared" si="104"/>
        <v>0</v>
      </c>
      <c r="H231" s="238">
        <f t="shared" si="104"/>
        <v>0</v>
      </c>
      <c r="I231" s="238">
        <f t="shared" si="104"/>
        <v>0</v>
      </c>
      <c r="J231" s="238">
        <f t="shared" si="104"/>
        <v>0</v>
      </c>
      <c r="K231" s="238">
        <f t="shared" si="104"/>
        <v>0</v>
      </c>
      <c r="L231" s="238">
        <f t="shared" si="104"/>
        <v>0</v>
      </c>
      <c r="M231" s="238">
        <f t="shared" si="104"/>
        <v>0</v>
      </c>
      <c r="N231" s="238">
        <f t="shared" si="104"/>
        <v>0</v>
      </c>
      <c r="O231" s="238">
        <f t="shared" si="104"/>
        <v>0</v>
      </c>
      <c r="P231" s="65"/>
      <c r="Q231" s="65"/>
    </row>
    <row r="232" spans="1:17" ht="12.75" x14ac:dyDescent="0.2">
      <c r="A232" s="149" t="s">
        <v>86</v>
      </c>
      <c r="B232" s="154">
        <f>'Projects &amp; Financing'!B29</f>
        <v>0</v>
      </c>
      <c r="C232" s="154">
        <f>'Projects &amp; Financing'!C29</f>
        <v>0</v>
      </c>
      <c r="D232" s="154">
        <f>'Projects &amp; Financing'!D29</f>
        <v>0</v>
      </c>
      <c r="E232" s="154">
        <f>'Projects &amp; Financing'!E29</f>
        <v>0</v>
      </c>
      <c r="F232" s="154">
        <f>'Projects &amp; Financing'!F29</f>
        <v>0</v>
      </c>
      <c r="G232" s="154">
        <f>'Projects &amp; Financing'!G29</f>
        <v>0</v>
      </c>
      <c r="H232" s="154">
        <f>'Projects &amp; Financing'!H29</f>
        <v>0</v>
      </c>
      <c r="I232" s="154">
        <f>'Projects &amp; Financing'!I29</f>
        <v>0</v>
      </c>
      <c r="J232" s="154">
        <f>'Projects &amp; Financing'!J29</f>
        <v>0</v>
      </c>
      <c r="K232" s="154">
        <f>'Projects &amp; Financing'!K29</f>
        <v>0</v>
      </c>
      <c r="L232" s="154">
        <f>'Projects &amp; Financing'!L29</f>
        <v>0</v>
      </c>
      <c r="M232" s="154">
        <f>'Projects &amp; Financing'!M29</f>
        <v>0</v>
      </c>
      <c r="N232" s="154">
        <f>'Projects &amp; Financing'!N29</f>
        <v>0</v>
      </c>
      <c r="O232" s="154">
        <f>'Projects &amp; Financing'!O29</f>
        <v>0</v>
      </c>
      <c r="P232" s="56"/>
      <c r="Q232" s="56"/>
    </row>
    <row r="233" spans="1:17" ht="12.75" x14ac:dyDescent="0.2">
      <c r="A233" s="149" t="s">
        <v>87</v>
      </c>
      <c r="B233" s="154">
        <f t="shared" ref="B233:O233" si="105">B235</f>
        <v>0</v>
      </c>
      <c r="C233" s="154">
        <f t="shared" si="105"/>
        <v>0</v>
      </c>
      <c r="D233" s="154">
        <f t="shared" si="105"/>
        <v>0</v>
      </c>
      <c r="E233" s="154">
        <f t="shared" si="105"/>
        <v>0</v>
      </c>
      <c r="F233" s="154">
        <f t="shared" si="105"/>
        <v>0</v>
      </c>
      <c r="G233" s="154">
        <f t="shared" si="105"/>
        <v>0</v>
      </c>
      <c r="H233" s="154">
        <f t="shared" si="105"/>
        <v>0</v>
      </c>
      <c r="I233" s="154">
        <f t="shared" si="105"/>
        <v>0</v>
      </c>
      <c r="J233" s="154">
        <f t="shared" si="105"/>
        <v>0</v>
      </c>
      <c r="K233" s="154">
        <f t="shared" si="105"/>
        <v>0</v>
      </c>
      <c r="L233" s="154">
        <f t="shared" si="105"/>
        <v>0</v>
      </c>
      <c r="M233" s="154">
        <f t="shared" si="105"/>
        <v>0</v>
      </c>
      <c r="N233" s="154">
        <f t="shared" si="105"/>
        <v>0</v>
      </c>
      <c r="O233" s="154">
        <f t="shared" si="105"/>
        <v>0</v>
      </c>
      <c r="P233" s="56"/>
      <c r="Q233" s="56"/>
    </row>
    <row r="234" spans="1:17" ht="12.75" x14ac:dyDescent="0.2">
      <c r="A234" s="149" t="s">
        <v>88</v>
      </c>
      <c r="B234" s="154">
        <v>0</v>
      </c>
      <c r="C234" s="154">
        <v>0</v>
      </c>
      <c r="D234" s="154">
        <v>0</v>
      </c>
      <c r="E234" s="154">
        <v>0</v>
      </c>
      <c r="F234" s="154">
        <v>0</v>
      </c>
      <c r="G234" s="154">
        <v>0</v>
      </c>
      <c r="H234" s="154">
        <v>0</v>
      </c>
      <c r="I234" s="154">
        <v>0</v>
      </c>
      <c r="J234" s="154">
        <v>0</v>
      </c>
      <c r="K234" s="154">
        <v>0</v>
      </c>
      <c r="L234" s="154">
        <v>0</v>
      </c>
      <c r="M234" s="154">
        <v>0</v>
      </c>
      <c r="N234" s="154">
        <v>0</v>
      </c>
      <c r="O234" s="154">
        <v>0</v>
      </c>
      <c r="P234" s="56"/>
      <c r="Q234" s="56"/>
    </row>
    <row r="235" spans="1:17" ht="12.75" x14ac:dyDescent="0.2">
      <c r="A235" s="149" t="s">
        <v>89</v>
      </c>
      <c r="B235" s="154">
        <f>IF(B205&lt;'Projects &amp; Financing'!D50,0,(B231+B237)/2*('Projects &amp; Financing'!$D$44))</f>
        <v>0</v>
      </c>
      <c r="C235" s="154">
        <f>(C231+C237)/2*('Projects &amp; Financing'!$D$44)</f>
        <v>0</v>
      </c>
      <c r="D235" s="154">
        <f>(D231+D237)/2*('Projects &amp; Financing'!$D$44)</f>
        <v>0</v>
      </c>
      <c r="E235" s="154">
        <f>(E231+E237)/2*('Projects &amp; Financing'!$D$44)</f>
        <v>0</v>
      </c>
      <c r="F235" s="154">
        <f>(F231+F237)/2*('Projects &amp; Financing'!$D$44)</f>
        <v>0</v>
      </c>
      <c r="G235" s="154">
        <f>(G231+G237)/2*('Projects &amp; Financing'!$D$44)</f>
        <v>0</v>
      </c>
      <c r="H235" s="154">
        <f>(H231+H237)/2*('Projects &amp; Financing'!$D$44)</f>
        <v>0</v>
      </c>
      <c r="I235" s="154">
        <f>(I231+I237)/2*('Projects &amp; Financing'!$D$44)</f>
        <v>0</v>
      </c>
      <c r="J235" s="154">
        <f>(J231+J237)/2*('Projects &amp; Financing'!$D$44)</f>
        <v>0</v>
      </c>
      <c r="K235" s="154">
        <f>(K231+K237)/2*('Projects &amp; Financing'!$D$44)</f>
        <v>0</v>
      </c>
      <c r="L235" s="154">
        <f>(L231+L237)/2*('Projects &amp; Financing'!$D$44)</f>
        <v>0</v>
      </c>
      <c r="M235" s="154">
        <f>(M231+M237)/2*('Projects &amp; Financing'!$D$44)</f>
        <v>0</v>
      </c>
      <c r="N235" s="154">
        <f>(N231+N237)/2*('Projects &amp; Financing'!$D$44)</f>
        <v>0</v>
      </c>
      <c r="O235" s="154">
        <f>(O231+O237)/2*('Projects &amp; Financing'!$D$44)</f>
        <v>0</v>
      </c>
      <c r="P235" s="56"/>
      <c r="Q235" s="56"/>
    </row>
    <row r="236" spans="1:17" ht="12.75" x14ac:dyDescent="0.2">
      <c r="A236" s="149" t="s">
        <v>90</v>
      </c>
      <c r="B236" s="154">
        <f>IF(AND(B$205&gt;='Projects &amp; Financing'!$D$49,'Projects &amp; Financing'!$D$52&lt;=B231),+'Projects &amp; Financing'!$D$52,0)</f>
        <v>0</v>
      </c>
      <c r="C236" s="154">
        <f>IF(AND(C$205&gt;='Projects &amp; Financing'!$D$49,'Projects &amp; Financing'!$D$52&lt;=C231),+'Projects &amp; Financing'!$D$52,0)</f>
        <v>0</v>
      </c>
      <c r="D236" s="154">
        <f>IF(AND(D$205&gt;='Projects &amp; Financing'!$D$49,'Projects &amp; Financing'!$D$52&lt;=D231),+'Projects &amp; Financing'!$D$52,0)</f>
        <v>0</v>
      </c>
      <c r="E236" s="154">
        <f>IF(AND(E$205&gt;='Projects &amp; Financing'!$D$49,'Projects &amp; Financing'!$D$52&lt;=E231),+'Projects &amp; Financing'!$D$52,0)</f>
        <v>0</v>
      </c>
      <c r="F236" s="154">
        <f>IF(AND(F$205&gt;='Projects &amp; Financing'!$D$49,'Projects &amp; Financing'!$D$52&lt;=F231),+'Projects &amp; Financing'!$D$52,0)</f>
        <v>0</v>
      </c>
      <c r="G236" s="154">
        <f>IF(AND(G$205&gt;='Projects &amp; Financing'!$D$49,'Projects &amp; Financing'!$D$52&lt;=G231),+'Projects &amp; Financing'!$D$52,0)</f>
        <v>0</v>
      </c>
      <c r="H236" s="154">
        <f>IF(AND(H$205&gt;='Projects &amp; Financing'!$D$49,'Projects &amp; Financing'!$D$52&lt;=H231),+'Projects &amp; Financing'!$D$52,0)</f>
        <v>0</v>
      </c>
      <c r="I236" s="154">
        <f>IF(AND(I$205&gt;='Projects &amp; Financing'!$D$49,'Projects &amp; Financing'!$D$52&lt;=I231),+'Projects &amp; Financing'!$D$52,0)</f>
        <v>0</v>
      </c>
      <c r="J236" s="154">
        <f>IF(AND(J$205&gt;='Projects &amp; Financing'!$D$49,'Projects &amp; Financing'!$D$52&lt;=J231),+'Projects &amp; Financing'!$D$52,0)</f>
        <v>0</v>
      </c>
      <c r="K236" s="154">
        <f>IF(AND(K$205&gt;='Projects &amp; Financing'!$D$49,'Projects &amp; Financing'!$D$52&lt;=K231),+'Projects &amp; Financing'!$D$52,0)</f>
        <v>0</v>
      </c>
      <c r="L236" s="154">
        <f>IF(AND(L$205&gt;='Projects &amp; Financing'!$D$49,'Projects &amp; Financing'!$D$52&lt;=L231),+'Projects &amp; Financing'!$D$52,0)</f>
        <v>0</v>
      </c>
      <c r="M236" s="154">
        <f>IF(AND(M$205&gt;='Projects &amp; Financing'!$D$49,'Projects &amp; Financing'!$D$52&lt;=M231),+'Projects &amp; Financing'!$D$52,0)</f>
        <v>0</v>
      </c>
      <c r="N236" s="154">
        <f>IF(AND(N$205&gt;='Projects &amp; Financing'!$D$49,'Projects &amp; Financing'!$D$52&lt;=N231),+'Projects &amp; Financing'!$D$52,0)</f>
        <v>0</v>
      </c>
      <c r="O236" s="154">
        <f>IF(AND(O$205&gt;='Projects &amp; Financing'!$D$49,'Projects &amp; Financing'!$D$52&lt;=O231),+'Projects &amp; Financing'!$D$52,0)</f>
        <v>0</v>
      </c>
      <c r="P236" s="56"/>
      <c r="Q236" s="56"/>
    </row>
    <row r="237" spans="1:17" ht="12" customHeight="1" x14ac:dyDescent="0.2">
      <c r="A237" s="161" t="s">
        <v>91</v>
      </c>
      <c r="B237" s="162">
        <f t="shared" ref="B237:O237" si="106">B231+B232-B236</f>
        <v>0</v>
      </c>
      <c r="C237" s="162">
        <f t="shared" si="106"/>
        <v>0</v>
      </c>
      <c r="D237" s="162">
        <f t="shared" si="106"/>
        <v>0</v>
      </c>
      <c r="E237" s="162">
        <f t="shared" si="106"/>
        <v>0</v>
      </c>
      <c r="F237" s="162">
        <f t="shared" si="106"/>
        <v>0</v>
      </c>
      <c r="G237" s="162">
        <f t="shared" si="106"/>
        <v>0</v>
      </c>
      <c r="H237" s="162">
        <f t="shared" si="106"/>
        <v>0</v>
      </c>
      <c r="I237" s="162">
        <f t="shared" si="106"/>
        <v>0</v>
      </c>
      <c r="J237" s="162">
        <f t="shared" si="106"/>
        <v>0</v>
      </c>
      <c r="K237" s="162">
        <f t="shared" si="106"/>
        <v>0</v>
      </c>
      <c r="L237" s="162">
        <f t="shared" si="106"/>
        <v>0</v>
      </c>
      <c r="M237" s="162">
        <f t="shared" si="106"/>
        <v>0</v>
      </c>
      <c r="N237" s="162">
        <f t="shared" si="106"/>
        <v>0</v>
      </c>
      <c r="O237" s="162">
        <f t="shared" si="106"/>
        <v>0</v>
      </c>
      <c r="P237" s="56"/>
      <c r="Q237" s="56"/>
    </row>
    <row r="238" spans="1:17" ht="18.75" customHeight="1" x14ac:dyDescent="0.25">
      <c r="A238" s="179" t="s">
        <v>213</v>
      </c>
      <c r="B238" s="162"/>
      <c r="C238" s="162"/>
      <c r="D238" s="162"/>
      <c r="E238" s="162"/>
      <c r="F238" s="162"/>
      <c r="G238" s="162"/>
      <c r="H238" s="162"/>
      <c r="I238" s="162"/>
      <c r="J238" s="162"/>
      <c r="K238" s="162"/>
      <c r="L238" s="162"/>
      <c r="M238" s="162"/>
      <c r="N238" s="162"/>
      <c r="O238" s="162"/>
      <c r="P238" s="56"/>
      <c r="Q238" s="56"/>
    </row>
    <row r="239" spans="1:17" s="473" customFormat="1" ht="12.75" x14ac:dyDescent="0.2">
      <c r="A239" s="181" t="s">
        <v>71</v>
      </c>
      <c r="B239" s="238">
        <f t="shared" ref="B239:B245" si="107">B215+B223+B231+B207</f>
        <v>3600</v>
      </c>
      <c r="C239" s="238">
        <f t="shared" ref="C239:O239" si="108">C215+C223+C231+C207</f>
        <v>2800</v>
      </c>
      <c r="D239" s="238">
        <f t="shared" si="108"/>
        <v>2000</v>
      </c>
      <c r="E239" s="238">
        <f t="shared" si="108"/>
        <v>1200</v>
      </c>
      <c r="F239" s="238">
        <f t="shared" si="108"/>
        <v>400</v>
      </c>
      <c r="G239" s="238">
        <f t="shared" si="108"/>
        <v>100</v>
      </c>
      <c r="H239" s="238">
        <f t="shared" si="108"/>
        <v>100</v>
      </c>
      <c r="I239" s="238">
        <f t="shared" si="108"/>
        <v>100</v>
      </c>
      <c r="J239" s="238">
        <f t="shared" si="108"/>
        <v>100</v>
      </c>
      <c r="K239" s="238">
        <f t="shared" si="108"/>
        <v>100</v>
      </c>
      <c r="L239" s="238">
        <f t="shared" si="108"/>
        <v>100</v>
      </c>
      <c r="M239" s="238">
        <f t="shared" si="108"/>
        <v>100</v>
      </c>
      <c r="N239" s="238">
        <f t="shared" si="108"/>
        <v>100</v>
      </c>
      <c r="O239" s="238">
        <f t="shared" si="108"/>
        <v>100</v>
      </c>
      <c r="P239" s="65"/>
      <c r="Q239" s="65"/>
    </row>
    <row r="240" spans="1:17" ht="12.75" x14ac:dyDescent="0.2">
      <c r="A240" s="149" t="s">
        <v>86</v>
      </c>
      <c r="B240" s="238">
        <f t="shared" si="107"/>
        <v>0</v>
      </c>
      <c r="C240" s="238">
        <f t="shared" ref="C240:O245" si="109">C216+C224+C232+C208</f>
        <v>0</v>
      </c>
      <c r="D240" s="238">
        <f t="shared" si="109"/>
        <v>0</v>
      </c>
      <c r="E240" s="238">
        <f t="shared" si="109"/>
        <v>0</v>
      </c>
      <c r="F240" s="238">
        <f t="shared" si="109"/>
        <v>0</v>
      </c>
      <c r="G240" s="238">
        <f t="shared" si="109"/>
        <v>0</v>
      </c>
      <c r="H240" s="238">
        <f t="shared" si="109"/>
        <v>0</v>
      </c>
      <c r="I240" s="238">
        <f t="shared" si="109"/>
        <v>0</v>
      </c>
      <c r="J240" s="238">
        <f t="shared" si="109"/>
        <v>0</v>
      </c>
      <c r="K240" s="238">
        <f t="shared" si="109"/>
        <v>0</v>
      </c>
      <c r="L240" s="238">
        <f t="shared" si="109"/>
        <v>0</v>
      </c>
      <c r="M240" s="238">
        <f t="shared" si="109"/>
        <v>0</v>
      </c>
      <c r="N240" s="238">
        <f t="shared" si="109"/>
        <v>0</v>
      </c>
      <c r="O240" s="238">
        <f t="shared" si="109"/>
        <v>0</v>
      </c>
      <c r="P240" s="56"/>
      <c r="Q240" s="56"/>
    </row>
    <row r="241" spans="1:17" ht="12.75" x14ac:dyDescent="0.2">
      <c r="A241" s="149" t="s">
        <v>87</v>
      </c>
      <c r="B241" s="238">
        <f t="shared" si="107"/>
        <v>300</v>
      </c>
      <c r="C241" s="238">
        <f t="shared" si="109"/>
        <v>290</v>
      </c>
      <c r="D241" s="238">
        <f t="shared" si="109"/>
        <v>270</v>
      </c>
      <c r="E241" s="238">
        <f t="shared" si="109"/>
        <v>200</v>
      </c>
      <c r="F241" s="238">
        <f t="shared" si="109"/>
        <v>80</v>
      </c>
      <c r="G241" s="238">
        <f t="shared" si="109"/>
        <v>0</v>
      </c>
      <c r="H241" s="238">
        <f t="shared" si="109"/>
        <v>0</v>
      </c>
      <c r="I241" s="238">
        <f t="shared" si="109"/>
        <v>0</v>
      </c>
      <c r="J241" s="238">
        <f t="shared" si="109"/>
        <v>0</v>
      </c>
      <c r="K241" s="238">
        <f t="shared" si="109"/>
        <v>0</v>
      </c>
      <c r="L241" s="238">
        <f t="shared" si="109"/>
        <v>0</v>
      </c>
      <c r="M241" s="238">
        <f t="shared" si="109"/>
        <v>0</v>
      </c>
      <c r="N241" s="238">
        <f t="shared" si="109"/>
        <v>0</v>
      </c>
      <c r="O241" s="238">
        <f t="shared" si="109"/>
        <v>0</v>
      </c>
      <c r="P241" s="56"/>
      <c r="Q241" s="56"/>
    </row>
    <row r="242" spans="1:17" ht="12.75" x14ac:dyDescent="0.2">
      <c r="A242" s="149" t="s">
        <v>214</v>
      </c>
      <c r="B242" s="238">
        <f t="shared" si="107"/>
        <v>0</v>
      </c>
      <c r="C242" s="238">
        <f t="shared" si="109"/>
        <v>0</v>
      </c>
      <c r="D242" s="238">
        <f t="shared" si="109"/>
        <v>0</v>
      </c>
      <c r="E242" s="238">
        <f t="shared" si="109"/>
        <v>0</v>
      </c>
      <c r="F242" s="238">
        <f t="shared" si="109"/>
        <v>0</v>
      </c>
      <c r="G242" s="238">
        <f t="shared" si="109"/>
        <v>0</v>
      </c>
      <c r="H242" s="238">
        <f t="shared" si="109"/>
        <v>0</v>
      </c>
      <c r="I242" s="238">
        <f t="shared" si="109"/>
        <v>0</v>
      </c>
      <c r="J242" s="238">
        <f t="shared" si="109"/>
        <v>0</v>
      </c>
      <c r="K242" s="238">
        <f t="shared" si="109"/>
        <v>0</v>
      </c>
      <c r="L242" s="238">
        <f t="shared" si="109"/>
        <v>0</v>
      </c>
      <c r="M242" s="238">
        <f t="shared" si="109"/>
        <v>0</v>
      </c>
      <c r="N242" s="238">
        <f t="shared" si="109"/>
        <v>0</v>
      </c>
      <c r="O242" s="238">
        <f t="shared" si="109"/>
        <v>0</v>
      </c>
      <c r="P242" s="56"/>
      <c r="Q242" s="56"/>
    </row>
    <row r="243" spans="1:17" ht="12.75" x14ac:dyDescent="0.2">
      <c r="A243" s="149" t="s">
        <v>89</v>
      </c>
      <c r="B243" s="238">
        <f t="shared" si="107"/>
        <v>300</v>
      </c>
      <c r="C243" s="238">
        <f t="shared" si="109"/>
        <v>290</v>
      </c>
      <c r="D243" s="238">
        <f t="shared" si="109"/>
        <v>270</v>
      </c>
      <c r="E243" s="238">
        <f t="shared" si="109"/>
        <v>200</v>
      </c>
      <c r="F243" s="238">
        <f t="shared" si="109"/>
        <v>80</v>
      </c>
      <c r="G243" s="238">
        <f t="shared" si="109"/>
        <v>0</v>
      </c>
      <c r="H243" s="238">
        <f t="shared" si="109"/>
        <v>0</v>
      </c>
      <c r="I243" s="238">
        <f t="shared" si="109"/>
        <v>0</v>
      </c>
      <c r="J243" s="238">
        <f t="shared" si="109"/>
        <v>0</v>
      </c>
      <c r="K243" s="238">
        <f t="shared" si="109"/>
        <v>0</v>
      </c>
      <c r="L243" s="238">
        <f t="shared" si="109"/>
        <v>0</v>
      </c>
      <c r="M243" s="238">
        <f t="shared" si="109"/>
        <v>0</v>
      </c>
      <c r="N243" s="238">
        <f t="shared" si="109"/>
        <v>0</v>
      </c>
      <c r="O243" s="238">
        <f t="shared" si="109"/>
        <v>0</v>
      </c>
      <c r="P243" s="56"/>
      <c r="Q243" s="56"/>
    </row>
    <row r="244" spans="1:17" ht="12.75" x14ac:dyDescent="0.2">
      <c r="A244" s="149" t="s">
        <v>90</v>
      </c>
      <c r="B244" s="238">
        <f t="shared" si="107"/>
        <v>800</v>
      </c>
      <c r="C244" s="238">
        <f t="shared" si="109"/>
        <v>800</v>
      </c>
      <c r="D244" s="238">
        <f t="shared" si="109"/>
        <v>800</v>
      </c>
      <c r="E244" s="238">
        <f t="shared" si="109"/>
        <v>800</v>
      </c>
      <c r="F244" s="238">
        <f t="shared" si="109"/>
        <v>300</v>
      </c>
      <c r="G244" s="238">
        <f t="shared" si="109"/>
        <v>0</v>
      </c>
      <c r="H244" s="238">
        <f t="shared" si="109"/>
        <v>0</v>
      </c>
      <c r="I244" s="238">
        <f t="shared" si="109"/>
        <v>0</v>
      </c>
      <c r="J244" s="238">
        <f t="shared" si="109"/>
        <v>0</v>
      </c>
      <c r="K244" s="238">
        <f t="shared" si="109"/>
        <v>0</v>
      </c>
      <c r="L244" s="238">
        <f t="shared" si="109"/>
        <v>0</v>
      </c>
      <c r="M244" s="238">
        <f t="shared" si="109"/>
        <v>0</v>
      </c>
      <c r="N244" s="238">
        <f t="shared" si="109"/>
        <v>0</v>
      </c>
      <c r="O244" s="238">
        <f t="shared" si="109"/>
        <v>0</v>
      </c>
      <c r="P244" s="56"/>
      <c r="Q244" s="56"/>
    </row>
    <row r="245" spans="1:17" ht="12.75" x14ac:dyDescent="0.2">
      <c r="A245" s="161" t="s">
        <v>91</v>
      </c>
      <c r="B245" s="162">
        <f t="shared" si="107"/>
        <v>2800</v>
      </c>
      <c r="C245" s="162">
        <f t="shared" si="109"/>
        <v>2000</v>
      </c>
      <c r="D245" s="162">
        <f t="shared" si="109"/>
        <v>1200</v>
      </c>
      <c r="E245" s="162">
        <f t="shared" si="109"/>
        <v>400</v>
      </c>
      <c r="F245" s="162">
        <f t="shared" si="109"/>
        <v>100</v>
      </c>
      <c r="G245" s="162">
        <f t="shared" si="109"/>
        <v>100</v>
      </c>
      <c r="H245" s="162">
        <f t="shared" si="109"/>
        <v>100</v>
      </c>
      <c r="I245" s="162">
        <f t="shared" si="109"/>
        <v>100</v>
      </c>
      <c r="J245" s="162">
        <f t="shared" si="109"/>
        <v>100</v>
      </c>
      <c r="K245" s="162">
        <f t="shared" si="109"/>
        <v>100</v>
      </c>
      <c r="L245" s="162">
        <f t="shared" si="109"/>
        <v>100</v>
      </c>
      <c r="M245" s="162">
        <f t="shared" si="109"/>
        <v>100</v>
      </c>
      <c r="N245" s="162">
        <f t="shared" si="109"/>
        <v>100</v>
      </c>
      <c r="O245" s="162">
        <f t="shared" si="109"/>
        <v>100</v>
      </c>
      <c r="P245" s="56"/>
      <c r="Q245" s="56"/>
    </row>
    <row r="246" spans="1:17" ht="12.75" x14ac:dyDescent="0.2">
      <c r="A246" s="149"/>
      <c r="B246" s="145"/>
      <c r="C246" s="145"/>
      <c r="D246" s="145"/>
      <c r="E246" s="145"/>
      <c r="F246" s="145"/>
      <c r="G246" s="145"/>
      <c r="H246" s="145"/>
      <c r="I246" s="145"/>
      <c r="J246" s="145"/>
      <c r="K246" s="145"/>
      <c r="L246" s="145"/>
      <c r="M246" s="145"/>
      <c r="N246" s="145"/>
      <c r="O246" s="145"/>
      <c r="P246" s="56"/>
      <c r="Q246" s="56"/>
    </row>
    <row r="247" spans="1:17" ht="20.25" x14ac:dyDescent="0.3">
      <c r="A247" s="72" t="str">
        <f>Assumptions!$B$3</f>
        <v>simulation water company</v>
      </c>
      <c r="B247" s="55"/>
      <c r="C247" s="55"/>
      <c r="D247" s="143"/>
      <c r="E247" s="147"/>
      <c r="F247" s="145"/>
      <c r="G247" s="145"/>
      <c r="H247" s="145"/>
      <c r="I247" s="145"/>
      <c r="J247" s="145"/>
      <c r="K247" s="145"/>
      <c r="L247" s="145"/>
      <c r="M247" s="145"/>
      <c r="N247" s="145"/>
      <c r="O247" s="145"/>
      <c r="P247" s="56"/>
      <c r="Q247" s="56"/>
    </row>
    <row r="248" spans="1:17" ht="12.75" x14ac:dyDescent="0.2">
      <c r="A248" s="145"/>
      <c r="B248" s="145"/>
      <c r="C248" s="145"/>
      <c r="D248" s="145"/>
      <c r="E248" s="145"/>
      <c r="F248" s="145"/>
      <c r="G248" s="145"/>
      <c r="H248" s="145"/>
      <c r="I248" s="145"/>
      <c r="J248" s="145"/>
      <c r="K248" s="145"/>
      <c r="L248" s="145"/>
      <c r="M248" s="145"/>
      <c r="N248" s="145"/>
      <c r="O248" s="145"/>
      <c r="P248" s="56"/>
      <c r="Q248" s="56"/>
    </row>
    <row r="249" spans="1:17" ht="18" x14ac:dyDescent="0.25">
      <c r="A249" s="66" t="s">
        <v>215</v>
      </c>
      <c r="B249" s="67"/>
      <c r="C249" s="144"/>
      <c r="D249" s="143"/>
      <c r="E249" s="145"/>
      <c r="F249" s="145"/>
      <c r="G249" s="145"/>
      <c r="H249" s="145"/>
      <c r="I249" s="145"/>
      <c r="J249" s="145"/>
      <c r="K249" s="145"/>
      <c r="L249" s="145"/>
      <c r="M249" s="145"/>
      <c r="N249" s="145"/>
      <c r="O249" s="145"/>
      <c r="P249" s="56"/>
      <c r="Q249" s="56"/>
    </row>
    <row r="250" spans="1:17" ht="12.75" x14ac:dyDescent="0.2">
      <c r="A250" s="145" t="str">
        <f>$A$204</f>
        <v>Million FMs</v>
      </c>
      <c r="B250" s="145"/>
      <c r="C250" s="145"/>
      <c r="D250" s="145"/>
      <c r="E250" s="146"/>
      <c r="F250" s="145"/>
      <c r="G250" s="147"/>
      <c r="H250" s="145"/>
      <c r="I250" s="145"/>
      <c r="J250" s="145"/>
      <c r="K250" s="182" t="str">
        <f>Assumptions!B9</f>
        <v>15,000 FMs = 1US$</v>
      </c>
      <c r="L250" s="451"/>
      <c r="M250" s="145"/>
      <c r="N250" s="145"/>
      <c r="O250" s="145"/>
      <c r="P250" s="56"/>
      <c r="Q250" s="56"/>
    </row>
    <row r="251" spans="1:17" ht="12.75" x14ac:dyDescent="0.2">
      <c r="A251" s="75"/>
      <c r="B251" s="76">
        <f>Assumptions!B4+1</f>
        <v>2018</v>
      </c>
      <c r="C251" s="76">
        <f>B251+1</f>
        <v>2019</v>
      </c>
      <c r="D251" s="76">
        <f t="shared" ref="D251:O251" si="110">C251+1</f>
        <v>2020</v>
      </c>
      <c r="E251" s="76">
        <f t="shared" si="110"/>
        <v>2021</v>
      </c>
      <c r="F251" s="76">
        <f t="shared" si="110"/>
        <v>2022</v>
      </c>
      <c r="G251" s="76">
        <f t="shared" si="110"/>
        <v>2023</v>
      </c>
      <c r="H251" s="76">
        <f t="shared" si="110"/>
        <v>2024</v>
      </c>
      <c r="I251" s="76">
        <f t="shared" si="110"/>
        <v>2025</v>
      </c>
      <c r="J251" s="76">
        <f t="shared" si="110"/>
        <v>2026</v>
      </c>
      <c r="K251" s="76">
        <f t="shared" si="110"/>
        <v>2027</v>
      </c>
      <c r="L251" s="76">
        <f t="shared" si="110"/>
        <v>2028</v>
      </c>
      <c r="M251" s="76">
        <f t="shared" si="110"/>
        <v>2029</v>
      </c>
      <c r="N251" s="76">
        <f t="shared" si="110"/>
        <v>2030</v>
      </c>
      <c r="O251" s="76">
        <f t="shared" si="110"/>
        <v>2031</v>
      </c>
      <c r="P251" s="56"/>
      <c r="Q251" s="56"/>
    </row>
    <row r="252" spans="1:17" ht="12.75" x14ac:dyDescent="0.2">
      <c r="A252" s="291"/>
      <c r="B252" s="292"/>
      <c r="C252" s="292"/>
      <c r="D252" s="292"/>
      <c r="E252" s="292"/>
      <c r="F252" s="292"/>
      <c r="G252" s="292"/>
      <c r="H252" s="292"/>
      <c r="I252" s="292"/>
      <c r="J252" s="292"/>
      <c r="K252" s="292"/>
      <c r="L252" s="292"/>
      <c r="M252" s="292"/>
      <c r="N252" s="292"/>
      <c r="O252" s="292"/>
      <c r="P252" s="56"/>
      <c r="Q252" s="56"/>
    </row>
    <row r="253" spans="1:17" ht="15.75" x14ac:dyDescent="0.25">
      <c r="A253" s="178" t="str">
        <f>'Opening Positions'!B9</f>
        <v>Cash &amp; Equivalents</v>
      </c>
      <c r="B253" s="154"/>
      <c r="C253" s="154"/>
      <c r="D253" s="154"/>
      <c r="E253" s="154"/>
      <c r="F253" s="154"/>
      <c r="G253" s="154"/>
      <c r="H253" s="154"/>
      <c r="I253" s="154"/>
      <c r="J253" s="154"/>
      <c r="K253" s="154"/>
      <c r="L253" s="154"/>
      <c r="M253" s="154"/>
      <c r="N253" s="154"/>
      <c r="O253" s="154"/>
      <c r="P253" s="56"/>
      <c r="Q253" s="56"/>
    </row>
    <row r="254" spans="1:17" ht="12.75" x14ac:dyDescent="0.2">
      <c r="A254" s="149" t="s">
        <v>216</v>
      </c>
      <c r="B254" s="154">
        <f>'Opening Positions'!D9</f>
        <v>50</v>
      </c>
      <c r="C254" s="154">
        <f t="shared" ref="C254:O254" si="111">B255</f>
        <v>155.19611232311317</v>
      </c>
      <c r="D254" s="154">
        <f t="shared" si="111"/>
        <v>158.85060451061318</v>
      </c>
      <c r="E254" s="154">
        <f t="shared" si="111"/>
        <v>156.92533107311317</v>
      </c>
      <c r="F254" s="154">
        <f t="shared" si="111"/>
        <v>156.11601076061316</v>
      </c>
      <c r="G254" s="154">
        <f t="shared" si="111"/>
        <v>155.08349982311319</v>
      </c>
      <c r="H254" s="154">
        <f t="shared" si="111"/>
        <v>154.09562701061316</v>
      </c>
      <c r="I254" s="154">
        <f t="shared" si="111"/>
        <v>153.09882657311317</v>
      </c>
      <c r="J254" s="154">
        <f t="shared" si="111"/>
        <v>152.10381166061316</v>
      </c>
      <c r="K254" s="154">
        <f t="shared" si="111"/>
        <v>151.10843964311317</v>
      </c>
      <c r="L254" s="154">
        <f t="shared" si="111"/>
        <v>150.11313904661318</v>
      </c>
      <c r="M254" s="154">
        <f t="shared" si="111"/>
        <v>149.11782416591319</v>
      </c>
      <c r="N254" s="154">
        <f t="shared" si="111"/>
        <v>148.12251214205315</v>
      </c>
      <c r="O254" s="154">
        <f t="shared" si="111"/>
        <v>147.12719954682518</v>
      </c>
      <c r="P254" s="56"/>
      <c r="Q254" s="56"/>
    </row>
    <row r="255" spans="1:17" ht="12.75" x14ac:dyDescent="0.2">
      <c r="A255" s="149" t="s">
        <v>225</v>
      </c>
      <c r="B255" s="154">
        <f>(B75/12)*Assumptions!B16</f>
        <v>155.19611232311317</v>
      </c>
      <c r="C255" s="154">
        <f>(C75/12)*Assumptions!C16</f>
        <v>158.85060451061318</v>
      </c>
      <c r="D255" s="154">
        <f>(D75/12)*Assumptions!D16</f>
        <v>156.92533107311317</v>
      </c>
      <c r="E255" s="154">
        <f>(E75/12)*Assumptions!E16</f>
        <v>156.11601076061316</v>
      </c>
      <c r="F255" s="154">
        <f>(F75/12)*Assumptions!$F16</f>
        <v>155.08349982311319</v>
      </c>
      <c r="G255" s="154">
        <f>(G75/12)*Assumptions!$F16</f>
        <v>154.09562701061316</v>
      </c>
      <c r="H255" s="154">
        <f>(H75/12)*Assumptions!$F16</f>
        <v>153.09882657311317</v>
      </c>
      <c r="I255" s="154">
        <f>(I75/12)*Assumptions!$F16</f>
        <v>152.10381166061316</v>
      </c>
      <c r="J255" s="154">
        <f>(J75/12)*Assumptions!$F16</f>
        <v>151.10843964311317</v>
      </c>
      <c r="K255" s="154">
        <f>(K75/12)*Assumptions!$F16</f>
        <v>150.11313904661318</v>
      </c>
      <c r="L255" s="154">
        <f>(L75/12)*Assumptions!$F16</f>
        <v>149.11782416591319</v>
      </c>
      <c r="M255" s="154">
        <f>(M75/12)*Assumptions!$F16</f>
        <v>148.12251214205315</v>
      </c>
      <c r="N255" s="154">
        <f>(N75/12)*Assumptions!$F16</f>
        <v>147.12719954682518</v>
      </c>
      <c r="O255" s="154">
        <f>(O75/12)*Assumptions!$F16</f>
        <v>146.13188706587076</v>
      </c>
      <c r="P255" s="56"/>
      <c r="Q255" s="56"/>
    </row>
    <row r="256" spans="1:17" ht="12.75" x14ac:dyDescent="0.2">
      <c r="A256" s="161" t="s">
        <v>224</v>
      </c>
      <c r="B256" s="162">
        <f t="shared" ref="B256:O256" si="112">B255-B254</f>
        <v>105.19611232311317</v>
      </c>
      <c r="C256" s="162">
        <f t="shared" si="112"/>
        <v>3.6544921875000114</v>
      </c>
      <c r="D256" s="162">
        <f t="shared" si="112"/>
        <v>-1.9252734375000102</v>
      </c>
      <c r="E256" s="162">
        <f t="shared" si="112"/>
        <v>-0.80932031250000591</v>
      </c>
      <c r="F256" s="162">
        <f t="shared" si="112"/>
        <v>-1.0325109374999784</v>
      </c>
      <c r="G256" s="162">
        <f t="shared" si="112"/>
        <v>-0.98787281250002934</v>
      </c>
      <c r="H256" s="162">
        <f t="shared" si="112"/>
        <v>-0.99680043749998504</v>
      </c>
      <c r="I256" s="162">
        <f t="shared" si="112"/>
        <v>-0.99501491250001095</v>
      </c>
      <c r="J256" s="162">
        <f t="shared" si="112"/>
        <v>-0.99537201749998871</v>
      </c>
      <c r="K256" s="162">
        <f t="shared" si="112"/>
        <v>-0.99530059649998748</v>
      </c>
      <c r="L256" s="162">
        <f t="shared" si="112"/>
        <v>-0.99531488069999341</v>
      </c>
      <c r="M256" s="162">
        <f t="shared" si="112"/>
        <v>-0.9953120238600377</v>
      </c>
      <c r="N256" s="162">
        <f t="shared" si="112"/>
        <v>-0.995312595227972</v>
      </c>
      <c r="O256" s="162">
        <f t="shared" si="112"/>
        <v>-0.99531248095442493</v>
      </c>
      <c r="P256" s="56"/>
      <c r="Q256" s="56"/>
    </row>
    <row r="257" spans="1:17" ht="12.75" x14ac:dyDescent="0.2">
      <c r="A257" s="291"/>
      <c r="B257" s="292"/>
      <c r="C257" s="292"/>
      <c r="D257" s="292"/>
      <c r="E257" s="292"/>
      <c r="F257" s="292"/>
      <c r="G257" s="292"/>
      <c r="H257" s="292"/>
      <c r="I257" s="292"/>
      <c r="J257" s="292"/>
      <c r="K257" s="292"/>
      <c r="L257" s="292"/>
      <c r="M257" s="292"/>
      <c r="N257" s="292"/>
      <c r="O257" s="292"/>
      <c r="P257" s="56"/>
      <c r="Q257" s="56"/>
    </row>
    <row r="258" spans="1:17" ht="15.75" x14ac:dyDescent="0.25">
      <c r="A258" s="178" t="str">
        <f>'Opening Positions'!B10</f>
        <v>Accounts Receivable</v>
      </c>
      <c r="B258" s="154"/>
      <c r="C258" s="154"/>
      <c r="D258" s="154"/>
      <c r="E258" s="154"/>
      <c r="F258" s="154"/>
      <c r="G258" s="154"/>
      <c r="H258" s="154"/>
      <c r="I258" s="154"/>
      <c r="J258" s="154"/>
      <c r="K258" s="154"/>
      <c r="L258" s="154"/>
      <c r="M258" s="154"/>
      <c r="N258" s="154"/>
      <c r="O258" s="154"/>
      <c r="P258" s="56"/>
      <c r="Q258" s="56"/>
    </row>
    <row r="259" spans="1:17" ht="12.75" x14ac:dyDescent="0.2">
      <c r="A259" s="149" t="s">
        <v>216</v>
      </c>
      <c r="B259" s="154">
        <f>'Opening Positions'!D10</f>
        <v>700</v>
      </c>
      <c r="C259" s="154">
        <f t="shared" ref="C259:O259" si="113">B261</f>
        <v>885.99218749999977</v>
      </c>
      <c r="D259" s="154">
        <f t="shared" si="113"/>
        <v>848.79374999999982</v>
      </c>
      <c r="E259" s="154">
        <f t="shared" si="113"/>
        <v>856.23343749999981</v>
      </c>
      <c r="F259" s="154">
        <f t="shared" si="113"/>
        <v>854.74549999999977</v>
      </c>
      <c r="G259" s="154">
        <f t="shared" si="113"/>
        <v>855.04308749999984</v>
      </c>
      <c r="H259" s="154">
        <f t="shared" si="113"/>
        <v>854.98356999999976</v>
      </c>
      <c r="I259" s="154">
        <f t="shared" si="113"/>
        <v>854.99547349999978</v>
      </c>
      <c r="J259" s="154">
        <f t="shared" si="113"/>
        <v>854.99309279999977</v>
      </c>
      <c r="K259" s="154">
        <f t="shared" si="113"/>
        <v>854.99356893999982</v>
      </c>
      <c r="L259" s="154">
        <f t="shared" si="113"/>
        <v>854.99347371199974</v>
      </c>
      <c r="M259" s="154">
        <f t="shared" si="113"/>
        <v>854.99349275759982</v>
      </c>
      <c r="N259" s="154">
        <f t="shared" si="113"/>
        <v>854.99348894847981</v>
      </c>
      <c r="O259" s="154">
        <f t="shared" si="113"/>
        <v>854.99348971030383</v>
      </c>
      <c r="P259" s="56"/>
      <c r="Q259" s="56"/>
    </row>
    <row r="260" spans="1:17" ht="12.75" x14ac:dyDescent="0.2">
      <c r="A260" s="149" t="s">
        <v>223</v>
      </c>
      <c r="B260" s="154">
        <f t="shared" ref="B260:O260" si="114">B73</f>
        <v>140</v>
      </c>
      <c r="C260" s="154">
        <f t="shared" si="114"/>
        <v>177.19843749999995</v>
      </c>
      <c r="D260" s="154">
        <f t="shared" si="114"/>
        <v>169.75874999999996</v>
      </c>
      <c r="E260" s="154">
        <f t="shared" si="114"/>
        <v>171.24668749999998</v>
      </c>
      <c r="F260" s="154">
        <f t="shared" si="114"/>
        <v>170.94909999999996</v>
      </c>
      <c r="G260" s="154">
        <f t="shared" si="114"/>
        <v>171.00861749999999</v>
      </c>
      <c r="H260" s="154">
        <f t="shared" si="114"/>
        <v>170.99671399999997</v>
      </c>
      <c r="I260" s="154">
        <f t="shared" si="114"/>
        <v>170.99909469999997</v>
      </c>
      <c r="J260" s="154">
        <f t="shared" si="114"/>
        <v>170.99861855999995</v>
      </c>
      <c r="K260" s="154">
        <f t="shared" si="114"/>
        <v>170.99871378799998</v>
      </c>
      <c r="L260" s="154">
        <f t="shared" si="114"/>
        <v>170.99869474239995</v>
      </c>
      <c r="M260" s="154">
        <f t="shared" si="114"/>
        <v>170.99869855151996</v>
      </c>
      <c r="N260" s="154">
        <f t="shared" si="114"/>
        <v>170.99869778969597</v>
      </c>
      <c r="O260" s="154">
        <f t="shared" si="114"/>
        <v>170.99869794206077</v>
      </c>
      <c r="P260" s="56"/>
      <c r="Q260" s="56"/>
    </row>
    <row r="261" spans="1:17" ht="12.75" x14ac:dyDescent="0.2">
      <c r="A261" s="149" t="s">
        <v>218</v>
      </c>
      <c r="B261" s="154">
        <f>B58*(Assumptions!B17/12)-B260</f>
        <v>885.99218749999977</v>
      </c>
      <c r="C261" s="154">
        <f>C58*(Assumptions!C17/12)-C260</f>
        <v>848.79374999999982</v>
      </c>
      <c r="D261" s="154">
        <f>D58*(Assumptions!D17/12)-D260</f>
        <v>856.23343749999981</v>
      </c>
      <c r="E261" s="154">
        <f>E58*(Assumptions!E17/12)-E260</f>
        <v>854.74549999999977</v>
      </c>
      <c r="F261" s="154">
        <f>F58*(Assumptions!$F17/12)-F260</f>
        <v>855.04308749999984</v>
      </c>
      <c r="G261" s="154">
        <f>G58*(Assumptions!$F17/12)-G260</f>
        <v>854.98356999999976</v>
      </c>
      <c r="H261" s="154">
        <f>H58*(Assumptions!$F17/12)-H260</f>
        <v>854.99547349999978</v>
      </c>
      <c r="I261" s="154">
        <f>I58*(Assumptions!$F17/12)-I260</f>
        <v>854.99309279999977</v>
      </c>
      <c r="J261" s="154">
        <f>J58*(Assumptions!$F17/12)-J260</f>
        <v>854.99356893999982</v>
      </c>
      <c r="K261" s="154">
        <f>K58*(Assumptions!$F17/12)-K260</f>
        <v>854.99347371199974</v>
      </c>
      <c r="L261" s="154">
        <f>L58*(Assumptions!$F17/12)-L260</f>
        <v>854.99349275759982</v>
      </c>
      <c r="M261" s="154">
        <f>M58*(Assumptions!$F17/12)-M260</f>
        <v>854.99348894847981</v>
      </c>
      <c r="N261" s="154">
        <f>N58*(Assumptions!$F17/12)-N260</f>
        <v>854.99348971030383</v>
      </c>
      <c r="O261" s="154">
        <f>O58*(Assumptions!$F17/12)-O260</f>
        <v>854.99348955793903</v>
      </c>
      <c r="P261" s="56"/>
      <c r="Q261" s="56"/>
    </row>
    <row r="262" spans="1:17" ht="12.75" x14ac:dyDescent="0.2">
      <c r="A262" s="161" t="s">
        <v>224</v>
      </c>
      <c r="B262" s="162">
        <f t="shared" ref="B262:O262" si="115">B261-B259</f>
        <v>185.99218749999977</v>
      </c>
      <c r="C262" s="162">
        <f t="shared" si="115"/>
        <v>-37.198437499999955</v>
      </c>
      <c r="D262" s="162">
        <f t="shared" si="115"/>
        <v>7.4396874999999909</v>
      </c>
      <c r="E262" s="162">
        <f t="shared" si="115"/>
        <v>-1.4879375000000437</v>
      </c>
      <c r="F262" s="162">
        <f t="shared" si="115"/>
        <v>0.29758750000007694</v>
      </c>
      <c r="G262" s="162">
        <f t="shared" si="115"/>
        <v>-5.9517500000083601E-2</v>
      </c>
      <c r="H262" s="162">
        <f t="shared" si="115"/>
        <v>1.190350000001672E-2</v>
      </c>
      <c r="I262" s="162">
        <f t="shared" si="115"/>
        <v>-2.380700000003344E-3</v>
      </c>
      <c r="J262" s="162">
        <f t="shared" si="115"/>
        <v>4.7614000004614354E-4</v>
      </c>
      <c r="K262" s="162">
        <f t="shared" si="115"/>
        <v>-9.5228000077440811E-5</v>
      </c>
      <c r="L262" s="162">
        <f t="shared" si="115"/>
        <v>1.9045600083700265E-5</v>
      </c>
      <c r="M262" s="162">
        <f t="shared" si="115"/>
        <v>-3.809120016740053E-6</v>
      </c>
      <c r="N262" s="162">
        <f t="shared" si="115"/>
        <v>7.6182402608537814E-7</v>
      </c>
      <c r="O262" s="162">
        <f t="shared" si="115"/>
        <v>-1.5236480521707563E-7</v>
      </c>
      <c r="P262" s="56"/>
      <c r="Q262" s="56"/>
    </row>
    <row r="263" spans="1:17" ht="12.75" x14ac:dyDescent="0.2">
      <c r="A263" s="291"/>
      <c r="B263" s="292"/>
      <c r="C263" s="292"/>
      <c r="D263" s="292"/>
      <c r="E263" s="292"/>
      <c r="F263" s="292"/>
      <c r="G263" s="292"/>
      <c r="H263" s="292"/>
      <c r="I263" s="292"/>
      <c r="J263" s="292"/>
      <c r="K263" s="292"/>
      <c r="L263" s="292"/>
      <c r="M263" s="292"/>
      <c r="N263" s="292"/>
      <c r="O263" s="292"/>
      <c r="P263" s="56"/>
      <c r="Q263" s="56"/>
    </row>
    <row r="264" spans="1:17" ht="15.75" x14ac:dyDescent="0.25">
      <c r="A264" s="178" t="str">
        <f>'Opening Positions'!B11</f>
        <v>Prepaid Items &amp; Advances</v>
      </c>
      <c r="B264" s="238"/>
      <c r="C264" s="238"/>
      <c r="D264" s="238"/>
      <c r="E264" s="238"/>
      <c r="F264" s="238"/>
      <c r="G264" s="238"/>
      <c r="H264" s="238"/>
      <c r="I264" s="238"/>
      <c r="J264" s="238"/>
      <c r="K264" s="238"/>
      <c r="L264" s="238"/>
      <c r="M264" s="238"/>
      <c r="N264" s="238"/>
      <c r="O264" s="238"/>
      <c r="P264" s="56"/>
      <c r="Q264" s="56"/>
    </row>
    <row r="265" spans="1:17" ht="12.75" x14ac:dyDescent="0.2">
      <c r="A265" s="149" t="s">
        <v>216</v>
      </c>
      <c r="B265" s="238">
        <f>'Opening Positions'!D11</f>
        <v>50</v>
      </c>
      <c r="C265" s="238">
        <f t="shared" ref="C265:O265" si="116">B266</f>
        <v>89.730903301886769</v>
      </c>
      <c r="D265" s="238">
        <f t="shared" si="116"/>
        <v>89.093903301886769</v>
      </c>
      <c r="E265" s="238">
        <f t="shared" si="116"/>
        <v>88.456903301886769</v>
      </c>
      <c r="F265" s="238">
        <f t="shared" si="116"/>
        <v>87.819903301886768</v>
      </c>
      <c r="G265" s="238">
        <f t="shared" si="116"/>
        <v>87.182903301886768</v>
      </c>
      <c r="H265" s="238">
        <f t="shared" si="116"/>
        <v>86.545903301886767</v>
      </c>
      <c r="I265" s="238">
        <f t="shared" si="116"/>
        <v>85.908903301886767</v>
      </c>
      <c r="J265" s="238">
        <f t="shared" si="116"/>
        <v>85.271903301886766</v>
      </c>
      <c r="K265" s="238">
        <f t="shared" si="116"/>
        <v>84.634903301886766</v>
      </c>
      <c r="L265" s="238">
        <f t="shared" si="116"/>
        <v>83.997903301886765</v>
      </c>
      <c r="M265" s="238">
        <f t="shared" si="116"/>
        <v>83.360903301886765</v>
      </c>
      <c r="N265" s="238">
        <f t="shared" si="116"/>
        <v>82.723903301886764</v>
      </c>
      <c r="O265" s="238">
        <f t="shared" si="116"/>
        <v>82.086903301886764</v>
      </c>
      <c r="P265" s="56"/>
      <c r="Q265" s="56"/>
    </row>
    <row r="266" spans="1:17" ht="12.75" x14ac:dyDescent="0.2">
      <c r="A266" s="149" t="s">
        <v>225</v>
      </c>
      <c r="B266" s="309">
        <f>(B67+B68+B68+B70)*Assumptions!B18</f>
        <v>89.730903301886769</v>
      </c>
      <c r="C266" s="309">
        <f>(C67+C68+C68+C70)*Assumptions!C18</f>
        <v>89.093903301886769</v>
      </c>
      <c r="D266" s="309">
        <f>(D67+D68+D68+D70)*Assumptions!D18</f>
        <v>88.456903301886769</v>
      </c>
      <c r="E266" s="309">
        <f>(E67+E68+E68+E70)*Assumptions!E18</f>
        <v>87.819903301886768</v>
      </c>
      <c r="F266" s="309">
        <f>(F67+F68+F68+F70)*Assumptions!$F$18</f>
        <v>87.182903301886768</v>
      </c>
      <c r="G266" s="309">
        <f>(G67+G68+G68+G70)*Assumptions!$F$18</f>
        <v>86.545903301886767</v>
      </c>
      <c r="H266" s="309">
        <f>(H67+H68+H68+H70)*Assumptions!$F$18</f>
        <v>85.908903301886767</v>
      </c>
      <c r="I266" s="309">
        <f>(I67+I68+I68+I70)*Assumptions!$F$18</f>
        <v>85.271903301886766</v>
      </c>
      <c r="J266" s="309">
        <f>(J67+J68+J68+J70)*Assumptions!$F$18</f>
        <v>84.634903301886766</v>
      </c>
      <c r="K266" s="309">
        <f>(K67+K68+K68+K70)*Assumptions!$F$18</f>
        <v>83.997903301886765</v>
      </c>
      <c r="L266" s="309">
        <f>(L67+L68+L68+L70)*Assumptions!$F$18</f>
        <v>83.360903301886765</v>
      </c>
      <c r="M266" s="309">
        <f>(M67+M68+M68+M70)*Assumptions!$F$18</f>
        <v>82.723903301886764</v>
      </c>
      <c r="N266" s="309">
        <f>(N67+N68+N68+N70)*Assumptions!$F$18</f>
        <v>82.086903301886764</v>
      </c>
      <c r="O266" s="309">
        <f>(O67+O68+O68+O70)*Assumptions!$F$18</f>
        <v>81.449903301886764</v>
      </c>
      <c r="P266" s="56"/>
      <c r="Q266" s="56"/>
    </row>
    <row r="267" spans="1:17" ht="12.75" x14ac:dyDescent="0.2">
      <c r="A267" s="161" t="s">
        <v>224</v>
      </c>
      <c r="B267" s="162">
        <f>B266-B265</f>
        <v>39.730903301886769</v>
      </c>
      <c r="C267" s="162">
        <f t="shared" ref="C267:O267" si="117">C266-C265</f>
        <v>-0.63700000000000045</v>
      </c>
      <c r="D267" s="162">
        <f t="shared" si="117"/>
        <v>-0.63700000000000045</v>
      </c>
      <c r="E267" s="162">
        <f t="shared" si="117"/>
        <v>-0.63700000000000045</v>
      </c>
      <c r="F267" s="162">
        <f t="shared" si="117"/>
        <v>-0.63700000000000045</v>
      </c>
      <c r="G267" s="162">
        <f t="shared" si="117"/>
        <v>-0.63700000000000045</v>
      </c>
      <c r="H267" s="162">
        <f t="shared" si="117"/>
        <v>-0.63700000000000045</v>
      </c>
      <c r="I267" s="162">
        <f t="shared" si="117"/>
        <v>-0.63700000000000045</v>
      </c>
      <c r="J267" s="162">
        <f t="shared" si="117"/>
        <v>-0.63700000000000045</v>
      </c>
      <c r="K267" s="162">
        <f t="shared" si="117"/>
        <v>-0.63700000000000045</v>
      </c>
      <c r="L267" s="162">
        <f t="shared" si="117"/>
        <v>-0.63700000000000045</v>
      </c>
      <c r="M267" s="162">
        <f t="shared" si="117"/>
        <v>-0.63700000000000045</v>
      </c>
      <c r="N267" s="162">
        <f t="shared" si="117"/>
        <v>-0.63700000000000045</v>
      </c>
      <c r="O267" s="162">
        <f t="shared" si="117"/>
        <v>-0.63700000000000045</v>
      </c>
      <c r="P267" s="56"/>
      <c r="Q267" s="56"/>
    </row>
    <row r="268" spans="1:17" ht="12.75" x14ac:dyDescent="0.2">
      <c r="A268" s="291"/>
      <c r="B268" s="292"/>
      <c r="C268" s="292"/>
      <c r="D268" s="292"/>
      <c r="E268" s="292"/>
      <c r="F268" s="292"/>
      <c r="G268" s="292"/>
      <c r="H268" s="292"/>
      <c r="I268" s="292"/>
      <c r="J268" s="292"/>
      <c r="K268" s="292"/>
      <c r="L268" s="292"/>
      <c r="M268" s="292"/>
      <c r="N268" s="292"/>
      <c r="O268" s="292"/>
      <c r="P268" s="56"/>
      <c r="Q268" s="56"/>
    </row>
    <row r="269" spans="1:17" ht="15.75" x14ac:dyDescent="0.25">
      <c r="A269" s="178" t="str">
        <f>'Opening Positions'!B12</f>
        <v>Savings Account</v>
      </c>
      <c r="B269" s="249"/>
      <c r="C269" s="238"/>
      <c r="D269" s="238"/>
      <c r="E269" s="238"/>
      <c r="F269" s="238"/>
      <c r="G269" s="238"/>
      <c r="H269" s="238"/>
      <c r="I269" s="238"/>
      <c r="J269" s="238"/>
      <c r="K269" s="238"/>
      <c r="L269" s="238"/>
      <c r="M269" s="238"/>
      <c r="N269" s="238"/>
      <c r="O269" s="238"/>
      <c r="P269" s="56"/>
      <c r="Q269" s="56"/>
    </row>
    <row r="270" spans="1:17" ht="12.75" x14ac:dyDescent="0.2">
      <c r="A270" s="149" t="s">
        <v>216</v>
      </c>
      <c r="B270" s="238">
        <f>'Opening Positions'!D12</f>
        <v>400</v>
      </c>
      <c r="C270" s="238">
        <f t="shared" ref="C270:O270" si="118">B271</f>
        <v>31.177037578616478</v>
      </c>
      <c r="D270" s="238">
        <f t="shared" si="118"/>
        <v>0</v>
      </c>
      <c r="E270" s="238">
        <f t="shared" si="118"/>
        <v>0</v>
      </c>
      <c r="F270" s="238">
        <f t="shared" si="118"/>
        <v>0</v>
      </c>
      <c r="G270" s="238">
        <f t="shared" si="118"/>
        <v>582.63059696540836</v>
      </c>
      <c r="H270" s="238">
        <f t="shared" si="118"/>
        <v>1535.940684930817</v>
      </c>
      <c r="I270" s="238">
        <f t="shared" si="118"/>
        <v>2495.5588746962258</v>
      </c>
      <c r="J270" s="238">
        <f t="shared" si="118"/>
        <v>3461.5594441016347</v>
      </c>
      <c r="K270" s="238">
        <f t="shared" si="118"/>
        <v>4433.927537579043</v>
      </c>
      <c r="L270" s="238">
        <f t="shared" si="118"/>
        <v>5412.6661262420512</v>
      </c>
      <c r="M270" s="238">
        <f t="shared" si="118"/>
        <v>6397.7746158679402</v>
      </c>
      <c r="N270" s="238">
        <f t="shared" si="118"/>
        <v>7389.253125301253</v>
      </c>
      <c r="O270" s="238">
        <f t="shared" si="118"/>
        <v>8387.1016307730806</v>
      </c>
      <c r="P270" s="56"/>
      <c r="Q270" s="56"/>
    </row>
    <row r="271" spans="1:17" ht="12.75" x14ac:dyDescent="0.2">
      <c r="A271" s="149" t="s">
        <v>225</v>
      </c>
      <c r="B271" s="238">
        <f>B270+B272</f>
        <v>31.177037578616478</v>
      </c>
      <c r="C271" s="238">
        <f t="shared" ref="C271:O271" si="119">C270+C272</f>
        <v>0</v>
      </c>
      <c r="D271" s="238">
        <f t="shared" si="119"/>
        <v>0</v>
      </c>
      <c r="E271" s="238">
        <f t="shared" si="119"/>
        <v>0</v>
      </c>
      <c r="F271" s="238">
        <f t="shared" si="119"/>
        <v>582.63059696540836</v>
      </c>
      <c r="G271" s="238">
        <f t="shared" si="119"/>
        <v>1535.940684930817</v>
      </c>
      <c r="H271" s="238">
        <f t="shared" si="119"/>
        <v>2495.5588746962258</v>
      </c>
      <c r="I271" s="238">
        <f t="shared" si="119"/>
        <v>3461.5594441016347</v>
      </c>
      <c r="J271" s="238">
        <f t="shared" si="119"/>
        <v>4433.927537579043</v>
      </c>
      <c r="K271" s="238">
        <f t="shared" si="119"/>
        <v>5412.6661262420512</v>
      </c>
      <c r="L271" s="238">
        <f t="shared" si="119"/>
        <v>6397.7746158679402</v>
      </c>
      <c r="M271" s="238">
        <f t="shared" si="119"/>
        <v>7389.253125301253</v>
      </c>
      <c r="N271" s="238">
        <f t="shared" si="119"/>
        <v>8387.1016307730806</v>
      </c>
      <c r="O271" s="238">
        <f t="shared" si="119"/>
        <v>9391.3201370372062</v>
      </c>
      <c r="P271" s="56"/>
      <c r="Q271" s="56"/>
    </row>
    <row r="272" spans="1:17" ht="12.75" x14ac:dyDescent="0.2">
      <c r="A272" s="161" t="s">
        <v>224</v>
      </c>
      <c r="B272" s="162">
        <f t="shared" ref="B272:O272" si="120">B126-B129</f>
        <v>-368.82296242138352</v>
      </c>
      <c r="C272" s="162">
        <f t="shared" si="120"/>
        <v>-31.177037578616478</v>
      </c>
      <c r="D272" s="162">
        <f t="shared" si="120"/>
        <v>0</v>
      </c>
      <c r="E272" s="162">
        <f t="shared" si="120"/>
        <v>0</v>
      </c>
      <c r="F272" s="162">
        <f t="shared" si="120"/>
        <v>582.63059696540836</v>
      </c>
      <c r="G272" s="162">
        <f t="shared" si="120"/>
        <v>953.3100879654088</v>
      </c>
      <c r="H272" s="162">
        <f t="shared" si="120"/>
        <v>959.61818976540849</v>
      </c>
      <c r="I272" s="162">
        <f t="shared" si="120"/>
        <v>966.00056940540901</v>
      </c>
      <c r="J272" s="162">
        <f t="shared" si="120"/>
        <v>972.36809347740859</v>
      </c>
      <c r="K272" s="162">
        <f t="shared" si="120"/>
        <v>978.73858866300861</v>
      </c>
      <c r="L272" s="162">
        <f t="shared" si="120"/>
        <v>985.10848962588852</v>
      </c>
      <c r="M272" s="162">
        <f t="shared" si="120"/>
        <v>991.47850943331287</v>
      </c>
      <c r="N272" s="162">
        <f t="shared" si="120"/>
        <v>997.84850547182793</v>
      </c>
      <c r="O272" s="162">
        <f t="shared" si="120"/>
        <v>1004.218506264125</v>
      </c>
      <c r="P272" s="56"/>
      <c r="Q272" s="56"/>
    </row>
    <row r="273" spans="1:17" ht="12.75" x14ac:dyDescent="0.2">
      <c r="A273" s="291"/>
      <c r="B273" s="292"/>
      <c r="C273" s="292"/>
      <c r="D273" s="292"/>
      <c r="E273" s="292"/>
      <c r="F273" s="292"/>
      <c r="G273" s="292"/>
      <c r="H273" s="292"/>
      <c r="I273" s="292"/>
      <c r="J273" s="292"/>
      <c r="K273" s="292"/>
      <c r="L273" s="292"/>
      <c r="M273" s="292"/>
      <c r="N273" s="292"/>
      <c r="O273" s="292"/>
      <c r="P273" s="56"/>
      <c r="Q273" s="56"/>
    </row>
    <row r="274" spans="1:17" ht="15.75" x14ac:dyDescent="0.25">
      <c r="A274" s="178" t="str">
        <f>'Opening Positions'!B13</f>
        <v>Inventories</v>
      </c>
      <c r="B274" s="154"/>
      <c r="C274" s="154"/>
      <c r="D274" s="154"/>
      <c r="E274" s="154"/>
      <c r="F274" s="154"/>
      <c r="G274" s="154"/>
      <c r="H274" s="154"/>
      <c r="I274" s="154"/>
      <c r="J274" s="154"/>
      <c r="K274" s="154"/>
      <c r="L274" s="154"/>
      <c r="M274" s="154"/>
      <c r="N274" s="154"/>
      <c r="O274" s="154"/>
      <c r="P274" s="56"/>
      <c r="Q274" s="56"/>
    </row>
    <row r="275" spans="1:17" ht="12.75" x14ac:dyDescent="0.2">
      <c r="A275" s="149" t="s">
        <v>216</v>
      </c>
      <c r="B275" s="154">
        <f>'Opening Positions'!D13</f>
        <v>150</v>
      </c>
      <c r="C275" s="154">
        <f t="shared" ref="C275:O275" si="121">B276</f>
        <v>174.95450275157231</v>
      </c>
      <c r="D275" s="154">
        <f t="shared" si="121"/>
        <v>171.238669418239</v>
      </c>
      <c r="E275" s="154">
        <f t="shared" si="121"/>
        <v>167.52283608490566</v>
      </c>
      <c r="F275" s="154">
        <f t="shared" si="121"/>
        <v>163.80700275157233</v>
      </c>
      <c r="G275" s="154">
        <f t="shared" si="121"/>
        <v>160.09116941823899</v>
      </c>
      <c r="H275" s="154">
        <f t="shared" si="121"/>
        <v>156.37533608490565</v>
      </c>
      <c r="I275" s="154">
        <f t="shared" si="121"/>
        <v>152.65950275157232</v>
      </c>
      <c r="J275" s="154">
        <f t="shared" si="121"/>
        <v>148.94366941823898</v>
      </c>
      <c r="K275" s="154">
        <f t="shared" si="121"/>
        <v>145.22783608490565</v>
      </c>
      <c r="L275" s="154">
        <f t="shared" si="121"/>
        <v>141.51200275157231</v>
      </c>
      <c r="M275" s="154">
        <f t="shared" si="121"/>
        <v>137.79616941823897</v>
      </c>
      <c r="N275" s="154">
        <f t="shared" si="121"/>
        <v>134.08033608490564</v>
      </c>
      <c r="O275" s="154">
        <f t="shared" si="121"/>
        <v>130.3645027515723</v>
      </c>
      <c r="P275" s="56"/>
      <c r="Q275" s="56"/>
    </row>
    <row r="276" spans="1:17" ht="12.75" x14ac:dyDescent="0.2">
      <c r="A276" s="149" t="s">
        <v>218</v>
      </c>
      <c r="B276" s="154">
        <f>((+B70+B74+B67+B69)/12)*Assumptions!B20</f>
        <v>174.95450275157231</v>
      </c>
      <c r="C276" s="154">
        <f>((+C70+C74+C67+C69)/12)*Assumptions!C20</f>
        <v>171.238669418239</v>
      </c>
      <c r="D276" s="154">
        <f>((+D70+D74+D67+D69)/12)*Assumptions!D20</f>
        <v>167.52283608490566</v>
      </c>
      <c r="E276" s="154">
        <f>((+E70+E74+E67+E69)/12)*Assumptions!E20</f>
        <v>163.80700275157233</v>
      </c>
      <c r="F276" s="154">
        <f>((+F70+F74+F67+F69)/12)*Assumptions!$F$20</f>
        <v>160.09116941823899</v>
      </c>
      <c r="G276" s="154">
        <f>((+G70+G74+G67+G69)/12)*Assumptions!$F$20</f>
        <v>156.37533608490565</v>
      </c>
      <c r="H276" s="154">
        <f>((+H70+H74+H67+H69)/12)*Assumptions!$F$20</f>
        <v>152.65950275157232</v>
      </c>
      <c r="I276" s="154">
        <f>((+I70+I74+I67+I69)/12)*Assumptions!$F$20</f>
        <v>148.94366941823898</v>
      </c>
      <c r="J276" s="154">
        <f>((+J70+J74+J67+J69)/12)*Assumptions!$F$20</f>
        <v>145.22783608490565</v>
      </c>
      <c r="K276" s="154">
        <f>((+K70+K74+K67+K69)/12)*Assumptions!$F$20</f>
        <v>141.51200275157231</v>
      </c>
      <c r="L276" s="154">
        <f>((+L70+L74+L67+L69)/12)*Assumptions!$F$20</f>
        <v>137.79616941823897</v>
      </c>
      <c r="M276" s="154">
        <f>((+M70+M74+M67+M69)/12)*Assumptions!$F$20</f>
        <v>134.08033608490564</v>
      </c>
      <c r="N276" s="154">
        <f>((+N70+N74+N67+N69)/12)*Assumptions!$F$20</f>
        <v>130.3645027515723</v>
      </c>
      <c r="O276" s="154">
        <f>((+O70+O74+O67+O69)/12)*Assumptions!$F$20</f>
        <v>126.64866941823898</v>
      </c>
      <c r="P276" s="56"/>
      <c r="Q276" s="56"/>
    </row>
    <row r="277" spans="1:17" ht="12.75" x14ac:dyDescent="0.2">
      <c r="A277" s="161" t="s">
        <v>224</v>
      </c>
      <c r="B277" s="162">
        <f t="shared" ref="B277:O277" si="122">B276-B275</f>
        <v>24.954502751572306</v>
      </c>
      <c r="C277" s="162">
        <f t="shared" si="122"/>
        <v>-3.7158333333333076</v>
      </c>
      <c r="D277" s="162">
        <f t="shared" si="122"/>
        <v>-3.715833333333336</v>
      </c>
      <c r="E277" s="162">
        <f t="shared" si="122"/>
        <v>-3.715833333333336</v>
      </c>
      <c r="F277" s="162">
        <f t="shared" si="122"/>
        <v>-3.715833333333336</v>
      </c>
      <c r="G277" s="162">
        <f t="shared" si="122"/>
        <v>-3.715833333333336</v>
      </c>
      <c r="H277" s="162">
        <f t="shared" si="122"/>
        <v>-3.715833333333336</v>
      </c>
      <c r="I277" s="162">
        <f t="shared" si="122"/>
        <v>-3.715833333333336</v>
      </c>
      <c r="J277" s="162">
        <f t="shared" si="122"/>
        <v>-3.715833333333336</v>
      </c>
      <c r="K277" s="162">
        <f t="shared" si="122"/>
        <v>-3.715833333333336</v>
      </c>
      <c r="L277" s="162">
        <f t="shared" si="122"/>
        <v>-3.715833333333336</v>
      </c>
      <c r="M277" s="162">
        <f t="shared" si="122"/>
        <v>-3.715833333333336</v>
      </c>
      <c r="N277" s="162">
        <f t="shared" si="122"/>
        <v>-3.715833333333336</v>
      </c>
      <c r="O277" s="162">
        <f t="shared" si="122"/>
        <v>-3.7158333333333218</v>
      </c>
      <c r="P277" s="56"/>
      <c r="Q277" s="56"/>
    </row>
    <row r="278" spans="1:17" ht="12.75" x14ac:dyDescent="0.2">
      <c r="A278" s="291"/>
      <c r="B278" s="292"/>
      <c r="C278" s="292"/>
      <c r="D278" s="292"/>
      <c r="E278" s="292"/>
      <c r="F278" s="292"/>
      <c r="G278" s="292"/>
      <c r="H278" s="292"/>
      <c r="I278" s="292"/>
      <c r="J278" s="292"/>
      <c r="K278" s="292"/>
      <c r="L278" s="292"/>
      <c r="M278" s="292"/>
      <c r="N278" s="292"/>
      <c r="O278" s="292"/>
      <c r="P278" s="56"/>
      <c r="Q278" s="56"/>
    </row>
    <row r="279" spans="1:17" ht="15.75" x14ac:dyDescent="0.25">
      <c r="A279" s="178" t="str">
        <f>'Opening Positions'!B14</f>
        <v>Land</v>
      </c>
      <c r="B279" s="154"/>
      <c r="C279" s="238"/>
      <c r="D279" s="238"/>
      <c r="E279" s="238"/>
      <c r="F279" s="238"/>
      <c r="G279" s="238"/>
      <c r="H279" s="238"/>
      <c r="I279" s="238"/>
      <c r="J279" s="238"/>
      <c r="K279" s="238"/>
      <c r="L279" s="238"/>
      <c r="M279" s="238"/>
      <c r="N279" s="238"/>
      <c r="O279" s="238"/>
      <c r="P279" s="56"/>
      <c r="Q279" s="56"/>
    </row>
    <row r="280" spans="1:17" ht="12.75" x14ac:dyDescent="0.2">
      <c r="A280" s="149" t="s">
        <v>216</v>
      </c>
      <c r="B280" s="154">
        <f>'Opening Positions'!D14</f>
        <v>0</v>
      </c>
      <c r="C280" s="238">
        <f t="shared" ref="C280:O280" si="123">B282</f>
        <v>0</v>
      </c>
      <c r="D280" s="238">
        <f t="shared" si="123"/>
        <v>0</v>
      </c>
      <c r="E280" s="238">
        <f t="shared" si="123"/>
        <v>0</v>
      </c>
      <c r="F280" s="238">
        <f t="shared" si="123"/>
        <v>0</v>
      </c>
      <c r="G280" s="238">
        <f t="shared" si="123"/>
        <v>0</v>
      </c>
      <c r="H280" s="238">
        <f t="shared" si="123"/>
        <v>0</v>
      </c>
      <c r="I280" s="238">
        <f t="shared" si="123"/>
        <v>0</v>
      </c>
      <c r="J280" s="238">
        <f t="shared" si="123"/>
        <v>0</v>
      </c>
      <c r="K280" s="238">
        <f t="shared" si="123"/>
        <v>0</v>
      </c>
      <c r="L280" s="238">
        <f t="shared" si="123"/>
        <v>0</v>
      </c>
      <c r="M280" s="238">
        <f t="shared" si="123"/>
        <v>0</v>
      </c>
      <c r="N280" s="238">
        <f t="shared" si="123"/>
        <v>0</v>
      </c>
      <c r="O280" s="238">
        <f t="shared" si="123"/>
        <v>0</v>
      </c>
      <c r="P280" s="56"/>
      <c r="Q280" s="56"/>
    </row>
    <row r="281" spans="1:17" ht="12.75" x14ac:dyDescent="0.2">
      <c r="A281" s="149" t="s">
        <v>220</v>
      </c>
      <c r="B281" s="154">
        <v>0</v>
      </c>
      <c r="C281" s="154">
        <v>0</v>
      </c>
      <c r="D281" s="154">
        <v>0</v>
      </c>
      <c r="E281" s="154">
        <v>0</v>
      </c>
      <c r="F281" s="154">
        <v>0</v>
      </c>
      <c r="G281" s="154">
        <v>0</v>
      </c>
      <c r="H281" s="154">
        <v>0</v>
      </c>
      <c r="I281" s="154">
        <v>0</v>
      </c>
      <c r="J281" s="154">
        <v>0</v>
      </c>
      <c r="K281" s="154">
        <v>0</v>
      </c>
      <c r="L281" s="154">
        <v>0</v>
      </c>
      <c r="M281" s="154">
        <v>0</v>
      </c>
      <c r="N281" s="154">
        <v>0</v>
      </c>
      <c r="O281" s="154">
        <v>0</v>
      </c>
      <c r="P281" s="56"/>
      <c r="Q281" s="56"/>
    </row>
    <row r="282" spans="1:17" ht="12.75" x14ac:dyDescent="0.2">
      <c r="A282" s="161" t="s">
        <v>218</v>
      </c>
      <c r="B282" s="162">
        <f t="shared" ref="B282:O282" si="124">B281+B280</f>
        <v>0</v>
      </c>
      <c r="C282" s="162">
        <f t="shared" si="124"/>
        <v>0</v>
      </c>
      <c r="D282" s="162">
        <f t="shared" si="124"/>
        <v>0</v>
      </c>
      <c r="E282" s="162">
        <f t="shared" si="124"/>
        <v>0</v>
      </c>
      <c r="F282" s="162">
        <f t="shared" si="124"/>
        <v>0</v>
      </c>
      <c r="G282" s="162">
        <f t="shared" si="124"/>
        <v>0</v>
      </c>
      <c r="H282" s="162">
        <f t="shared" si="124"/>
        <v>0</v>
      </c>
      <c r="I282" s="162">
        <f t="shared" si="124"/>
        <v>0</v>
      </c>
      <c r="J282" s="162">
        <f t="shared" si="124"/>
        <v>0</v>
      </c>
      <c r="K282" s="162">
        <f t="shared" si="124"/>
        <v>0</v>
      </c>
      <c r="L282" s="162">
        <f t="shared" si="124"/>
        <v>0</v>
      </c>
      <c r="M282" s="162">
        <f t="shared" si="124"/>
        <v>0</v>
      </c>
      <c r="N282" s="162">
        <f t="shared" si="124"/>
        <v>0</v>
      </c>
      <c r="O282" s="162">
        <f t="shared" si="124"/>
        <v>0</v>
      </c>
      <c r="P282" s="56"/>
      <c r="Q282" s="56"/>
    </row>
    <row r="283" spans="1:17" ht="12.75" x14ac:dyDescent="0.2">
      <c r="A283" s="291"/>
      <c r="B283" s="292"/>
      <c r="C283" s="292"/>
      <c r="D283" s="292"/>
      <c r="E283" s="292"/>
      <c r="F283" s="292"/>
      <c r="G283" s="292"/>
      <c r="H283" s="292"/>
      <c r="I283" s="292"/>
      <c r="J283" s="292"/>
      <c r="K283" s="292"/>
      <c r="L283" s="292"/>
      <c r="M283" s="292"/>
      <c r="N283" s="292"/>
      <c r="O283" s="292"/>
      <c r="P283" s="56"/>
      <c r="Q283" s="56"/>
    </row>
    <row r="284" spans="1:17" ht="15.75" x14ac:dyDescent="0.25">
      <c r="A284" s="178" t="str">
        <f>'Opening Positions'!B15</f>
        <v>Fixed Assets</v>
      </c>
      <c r="B284" s="154"/>
      <c r="C284" s="154"/>
      <c r="D284" s="154"/>
      <c r="E284" s="154"/>
      <c r="F284" s="154"/>
      <c r="G284" s="154"/>
      <c r="H284" s="154"/>
      <c r="I284" s="154"/>
      <c r="J284" s="154"/>
      <c r="K284" s="154"/>
      <c r="L284" s="154"/>
      <c r="M284" s="154"/>
      <c r="N284" s="154"/>
      <c r="O284" s="154"/>
      <c r="P284" s="56"/>
      <c r="Q284" s="56"/>
    </row>
    <row r="285" spans="1:17" ht="12.75" x14ac:dyDescent="0.2">
      <c r="A285" s="149" t="s">
        <v>216</v>
      </c>
      <c r="B285" s="154">
        <f>'Opening Positions'!D15</f>
        <v>9100</v>
      </c>
      <c r="C285" s="154">
        <f t="shared" ref="C285:O285" si="125">B288</f>
        <v>9100</v>
      </c>
      <c r="D285" s="154">
        <f t="shared" si="125"/>
        <v>9100</v>
      </c>
      <c r="E285" s="154">
        <f t="shared" si="125"/>
        <v>9100</v>
      </c>
      <c r="F285" s="154">
        <f t="shared" si="125"/>
        <v>9100</v>
      </c>
      <c r="G285" s="154">
        <f t="shared" si="125"/>
        <v>9100</v>
      </c>
      <c r="H285" s="154">
        <f t="shared" si="125"/>
        <v>9100</v>
      </c>
      <c r="I285" s="154">
        <f t="shared" si="125"/>
        <v>9100</v>
      </c>
      <c r="J285" s="154">
        <f t="shared" si="125"/>
        <v>9100</v>
      </c>
      <c r="K285" s="154">
        <f t="shared" si="125"/>
        <v>9100</v>
      </c>
      <c r="L285" s="154">
        <f t="shared" si="125"/>
        <v>9100</v>
      </c>
      <c r="M285" s="154">
        <f t="shared" si="125"/>
        <v>9100</v>
      </c>
      <c r="N285" s="154">
        <f t="shared" si="125"/>
        <v>9100</v>
      </c>
      <c r="O285" s="154">
        <f t="shared" si="125"/>
        <v>9100</v>
      </c>
      <c r="P285" s="56"/>
      <c r="Q285" s="56"/>
    </row>
    <row r="286" spans="1:17" ht="12.75" x14ac:dyDescent="0.2">
      <c r="A286" s="149" t="s">
        <v>86</v>
      </c>
      <c r="B286" s="154">
        <f t="shared" ref="B286:O286" si="126">B293</f>
        <v>0</v>
      </c>
      <c r="C286" s="154">
        <f t="shared" si="126"/>
        <v>0</v>
      </c>
      <c r="D286" s="154">
        <f t="shared" si="126"/>
        <v>0</v>
      </c>
      <c r="E286" s="154">
        <f t="shared" si="126"/>
        <v>0</v>
      </c>
      <c r="F286" s="154">
        <f t="shared" si="126"/>
        <v>0</v>
      </c>
      <c r="G286" s="154">
        <f t="shared" si="126"/>
        <v>0</v>
      </c>
      <c r="H286" s="154">
        <f t="shared" si="126"/>
        <v>0</v>
      </c>
      <c r="I286" s="154">
        <f t="shared" si="126"/>
        <v>0</v>
      </c>
      <c r="J286" s="154">
        <f t="shared" si="126"/>
        <v>0</v>
      </c>
      <c r="K286" s="154">
        <f t="shared" si="126"/>
        <v>0</v>
      </c>
      <c r="L286" s="154">
        <f t="shared" si="126"/>
        <v>0</v>
      </c>
      <c r="M286" s="154">
        <f t="shared" si="126"/>
        <v>0</v>
      </c>
      <c r="N286" s="154">
        <f t="shared" si="126"/>
        <v>0</v>
      </c>
      <c r="O286" s="154">
        <f t="shared" si="126"/>
        <v>0</v>
      </c>
      <c r="P286" s="56"/>
      <c r="Q286" s="56"/>
    </row>
    <row r="287" spans="1:17" ht="12.75" x14ac:dyDescent="0.2">
      <c r="A287" s="149" t="s">
        <v>219</v>
      </c>
      <c r="B287" s="154">
        <v>0</v>
      </c>
      <c r="C287" s="154">
        <v>0</v>
      </c>
      <c r="D287" s="154">
        <v>0</v>
      </c>
      <c r="E287" s="154">
        <v>0</v>
      </c>
      <c r="F287" s="154">
        <v>0</v>
      </c>
      <c r="G287" s="154">
        <v>0</v>
      </c>
      <c r="H287" s="154">
        <v>0</v>
      </c>
      <c r="I287" s="154">
        <v>0</v>
      </c>
      <c r="J287" s="154">
        <v>0</v>
      </c>
      <c r="K287" s="154">
        <v>0</v>
      </c>
      <c r="L287" s="154">
        <v>0</v>
      </c>
      <c r="M287" s="154">
        <v>0</v>
      </c>
      <c r="N287" s="154">
        <v>0</v>
      </c>
      <c r="O287" s="154">
        <v>0</v>
      </c>
      <c r="P287" s="56"/>
      <c r="Q287" s="56"/>
    </row>
    <row r="288" spans="1:17" ht="12.75" x14ac:dyDescent="0.2">
      <c r="A288" s="161" t="s">
        <v>218</v>
      </c>
      <c r="B288" s="162">
        <f t="shared" ref="B288:O288" si="127">B285+B286-B287</f>
        <v>9100</v>
      </c>
      <c r="C288" s="162">
        <f t="shared" si="127"/>
        <v>9100</v>
      </c>
      <c r="D288" s="162">
        <f t="shared" si="127"/>
        <v>9100</v>
      </c>
      <c r="E288" s="162">
        <f t="shared" si="127"/>
        <v>9100</v>
      </c>
      <c r="F288" s="162">
        <f t="shared" si="127"/>
        <v>9100</v>
      </c>
      <c r="G288" s="162">
        <f t="shared" si="127"/>
        <v>9100</v>
      </c>
      <c r="H288" s="162">
        <f t="shared" si="127"/>
        <v>9100</v>
      </c>
      <c r="I288" s="162">
        <f t="shared" si="127"/>
        <v>9100</v>
      </c>
      <c r="J288" s="162">
        <f t="shared" si="127"/>
        <v>9100</v>
      </c>
      <c r="K288" s="162">
        <f t="shared" si="127"/>
        <v>9100</v>
      </c>
      <c r="L288" s="162">
        <f t="shared" si="127"/>
        <v>9100</v>
      </c>
      <c r="M288" s="162">
        <f t="shared" si="127"/>
        <v>9100</v>
      </c>
      <c r="N288" s="162">
        <f t="shared" si="127"/>
        <v>9100</v>
      </c>
      <c r="O288" s="162">
        <f t="shared" si="127"/>
        <v>9100</v>
      </c>
      <c r="P288" s="56"/>
      <c r="Q288" s="56"/>
    </row>
    <row r="289" spans="1:17" ht="12.75" x14ac:dyDescent="0.2">
      <c r="A289" s="291"/>
      <c r="B289" s="292"/>
      <c r="C289" s="292"/>
      <c r="D289" s="292"/>
      <c r="E289" s="292"/>
      <c r="F289" s="292"/>
      <c r="G289" s="292"/>
      <c r="H289" s="292"/>
      <c r="I289" s="292"/>
      <c r="J289" s="292"/>
      <c r="K289" s="292"/>
      <c r="L289" s="292"/>
      <c r="M289" s="292"/>
      <c r="N289" s="292"/>
      <c r="O289" s="292"/>
      <c r="P289" s="56"/>
      <c r="Q289" s="56"/>
    </row>
    <row r="290" spans="1:17" ht="15.75" x14ac:dyDescent="0.25">
      <c r="A290" s="178" t="str">
        <f>'Opening Positions'!B17</f>
        <v>Construction Work in Process</v>
      </c>
      <c r="B290" s="145"/>
      <c r="C290" s="145"/>
      <c r="D290" s="145"/>
      <c r="E290" s="145"/>
      <c r="F290" s="145"/>
      <c r="G290" s="145"/>
      <c r="H290" s="145"/>
      <c r="I290" s="145"/>
      <c r="J290" s="145"/>
      <c r="K290" s="145"/>
      <c r="L290" s="145"/>
      <c r="M290" s="145"/>
      <c r="N290" s="145"/>
      <c r="O290" s="145"/>
      <c r="P290" s="56"/>
      <c r="Q290" s="56"/>
    </row>
    <row r="291" spans="1:17" ht="12.75" x14ac:dyDescent="0.2">
      <c r="A291" s="149" t="s">
        <v>216</v>
      </c>
      <c r="B291" s="154">
        <f>'Opening Positions'!D17</f>
        <v>0</v>
      </c>
      <c r="C291" s="154">
        <f t="shared" ref="C291:O291" si="128">B294</f>
        <v>0</v>
      </c>
      <c r="D291" s="154">
        <f t="shared" si="128"/>
        <v>0</v>
      </c>
      <c r="E291" s="154">
        <f t="shared" si="128"/>
        <v>0</v>
      </c>
      <c r="F291" s="154">
        <f t="shared" si="128"/>
        <v>0</v>
      </c>
      <c r="G291" s="154">
        <f t="shared" si="128"/>
        <v>0</v>
      </c>
      <c r="H291" s="154">
        <f t="shared" si="128"/>
        <v>0</v>
      </c>
      <c r="I291" s="154">
        <f t="shared" si="128"/>
        <v>0</v>
      </c>
      <c r="J291" s="154">
        <f t="shared" si="128"/>
        <v>0</v>
      </c>
      <c r="K291" s="154">
        <f t="shared" si="128"/>
        <v>0</v>
      </c>
      <c r="L291" s="154">
        <f t="shared" si="128"/>
        <v>0</v>
      </c>
      <c r="M291" s="154">
        <f t="shared" si="128"/>
        <v>0</v>
      </c>
      <c r="N291" s="154">
        <f t="shared" si="128"/>
        <v>0</v>
      </c>
      <c r="O291" s="154">
        <f t="shared" si="128"/>
        <v>0</v>
      </c>
      <c r="P291" s="56"/>
      <c r="Q291" s="56"/>
    </row>
    <row r="292" spans="1:17" ht="12.75" x14ac:dyDescent="0.2">
      <c r="A292" s="149" t="s">
        <v>86</v>
      </c>
      <c r="B292" s="154">
        <f>'Projects &amp; Financing'!B16</f>
        <v>0</v>
      </c>
      <c r="C292" s="154">
        <f>'Projects &amp; Financing'!C16</f>
        <v>0</v>
      </c>
      <c r="D292" s="154">
        <f>'Projects &amp; Financing'!D16</f>
        <v>0</v>
      </c>
      <c r="E292" s="154">
        <f>'Projects &amp; Financing'!E16</f>
        <v>0</v>
      </c>
      <c r="F292" s="154">
        <f>'Projects &amp; Financing'!F16</f>
        <v>0</v>
      </c>
      <c r="G292" s="154">
        <f>'Projects &amp; Financing'!G16</f>
        <v>0</v>
      </c>
      <c r="H292" s="154">
        <f>'Projects &amp; Financing'!H16</f>
        <v>0</v>
      </c>
      <c r="I292" s="154">
        <f>'Projects &amp; Financing'!I16</f>
        <v>0</v>
      </c>
      <c r="J292" s="154">
        <f>'Projects &amp; Financing'!J16</f>
        <v>0</v>
      </c>
      <c r="K292" s="154">
        <f>'Projects &amp; Financing'!K16</f>
        <v>0</v>
      </c>
      <c r="L292" s="154">
        <f>'Projects &amp; Financing'!L16</f>
        <v>0</v>
      </c>
      <c r="M292" s="154">
        <f>'Projects &amp; Financing'!M16</f>
        <v>0</v>
      </c>
      <c r="N292" s="154">
        <f>'Projects &amp; Financing'!N16</f>
        <v>0</v>
      </c>
      <c r="O292" s="154">
        <f>'Projects &amp; Financing'!O16</f>
        <v>0</v>
      </c>
      <c r="P292" s="56"/>
      <c r="Q292" s="56"/>
    </row>
    <row r="293" spans="1:17" ht="12.75" x14ac:dyDescent="0.2">
      <c r="A293" s="149" t="s">
        <v>217</v>
      </c>
      <c r="B293" s="154">
        <f>'Projects &amp; Financing'!B17</f>
        <v>0</v>
      </c>
      <c r="C293" s="154">
        <f>'Projects &amp; Financing'!C17</f>
        <v>0</v>
      </c>
      <c r="D293" s="154">
        <f>'Projects &amp; Financing'!D17</f>
        <v>0</v>
      </c>
      <c r="E293" s="154">
        <f>'Projects &amp; Financing'!E17</f>
        <v>0</v>
      </c>
      <c r="F293" s="154">
        <f>'Projects &amp; Financing'!F17</f>
        <v>0</v>
      </c>
      <c r="G293" s="154">
        <f>'Projects &amp; Financing'!G17</f>
        <v>0</v>
      </c>
      <c r="H293" s="154">
        <f>'Projects &amp; Financing'!H17</f>
        <v>0</v>
      </c>
      <c r="I293" s="154">
        <f>'Projects &amp; Financing'!I17</f>
        <v>0</v>
      </c>
      <c r="J293" s="154">
        <f>'Projects &amp; Financing'!J17</f>
        <v>0</v>
      </c>
      <c r="K293" s="154">
        <f>'Projects &amp; Financing'!K17</f>
        <v>0</v>
      </c>
      <c r="L293" s="154">
        <f>'Projects &amp; Financing'!L17</f>
        <v>0</v>
      </c>
      <c r="M293" s="154">
        <f>'Projects &amp; Financing'!M17</f>
        <v>0</v>
      </c>
      <c r="N293" s="154">
        <f>'Projects &amp; Financing'!N17</f>
        <v>0</v>
      </c>
      <c r="O293" s="154">
        <f>'Projects &amp; Financing'!O17</f>
        <v>0</v>
      </c>
      <c r="P293" s="56"/>
      <c r="Q293" s="56"/>
    </row>
    <row r="294" spans="1:17" ht="12.75" x14ac:dyDescent="0.2">
      <c r="A294" s="161" t="s">
        <v>218</v>
      </c>
      <c r="B294" s="162">
        <f t="shared" ref="B294:O294" si="129">B291+B292-B293</f>
        <v>0</v>
      </c>
      <c r="C294" s="162">
        <f t="shared" si="129"/>
        <v>0</v>
      </c>
      <c r="D294" s="162">
        <f t="shared" si="129"/>
        <v>0</v>
      </c>
      <c r="E294" s="162">
        <f t="shared" si="129"/>
        <v>0</v>
      </c>
      <c r="F294" s="162">
        <f t="shared" si="129"/>
        <v>0</v>
      </c>
      <c r="G294" s="162">
        <f t="shared" si="129"/>
        <v>0</v>
      </c>
      <c r="H294" s="162">
        <f t="shared" si="129"/>
        <v>0</v>
      </c>
      <c r="I294" s="162">
        <f t="shared" si="129"/>
        <v>0</v>
      </c>
      <c r="J294" s="162">
        <f t="shared" si="129"/>
        <v>0</v>
      </c>
      <c r="K294" s="162">
        <f t="shared" si="129"/>
        <v>0</v>
      </c>
      <c r="L294" s="162">
        <f t="shared" si="129"/>
        <v>0</v>
      </c>
      <c r="M294" s="162">
        <f t="shared" si="129"/>
        <v>0</v>
      </c>
      <c r="N294" s="162">
        <f t="shared" si="129"/>
        <v>0</v>
      </c>
      <c r="O294" s="162">
        <f t="shared" si="129"/>
        <v>0</v>
      </c>
      <c r="P294" s="56"/>
      <c r="Q294" s="56"/>
    </row>
    <row r="295" spans="1:17" ht="12.75" x14ac:dyDescent="0.2">
      <c r="A295" s="291"/>
      <c r="B295" s="292"/>
      <c r="C295" s="292"/>
      <c r="D295" s="292"/>
      <c r="E295" s="292"/>
      <c r="F295" s="292"/>
      <c r="G295" s="292"/>
      <c r="H295" s="292"/>
      <c r="I295" s="292"/>
      <c r="J295" s="292"/>
      <c r="K295" s="292"/>
      <c r="L295" s="292"/>
      <c r="M295" s="292"/>
      <c r="N295" s="292"/>
      <c r="O295" s="292"/>
      <c r="P295" s="56"/>
      <c r="Q295" s="56"/>
    </row>
    <row r="296" spans="1:17" ht="15.75" x14ac:dyDescent="0.25">
      <c r="A296" s="178" t="str">
        <f>'Opening Positions'!B16</f>
        <v>Other Misc Assets</v>
      </c>
      <c r="B296" s="238"/>
      <c r="C296" s="238"/>
      <c r="D296" s="238"/>
      <c r="E296" s="238"/>
      <c r="F296" s="238"/>
      <c r="G296" s="238"/>
      <c r="H296" s="238"/>
      <c r="I296" s="238"/>
      <c r="J296" s="238"/>
      <c r="K296" s="238"/>
      <c r="L296" s="238"/>
      <c r="M296" s="238"/>
      <c r="N296" s="238"/>
      <c r="O296" s="238"/>
      <c r="P296" s="56"/>
      <c r="Q296" s="56"/>
    </row>
    <row r="297" spans="1:17" ht="12.75" x14ac:dyDescent="0.2">
      <c r="A297" s="149" t="s">
        <v>216</v>
      </c>
      <c r="B297" s="238">
        <f>'Opening Positions'!D16</f>
        <v>0</v>
      </c>
      <c r="C297" s="238">
        <f t="shared" ref="C297:O297" si="130">B298</f>
        <v>0</v>
      </c>
      <c r="D297" s="238">
        <f t="shared" si="130"/>
        <v>0</v>
      </c>
      <c r="E297" s="238">
        <f t="shared" si="130"/>
        <v>0</v>
      </c>
      <c r="F297" s="238">
        <f t="shared" si="130"/>
        <v>0</v>
      </c>
      <c r="G297" s="238">
        <f t="shared" si="130"/>
        <v>0</v>
      </c>
      <c r="H297" s="238">
        <f t="shared" si="130"/>
        <v>0</v>
      </c>
      <c r="I297" s="238">
        <f t="shared" si="130"/>
        <v>0</v>
      </c>
      <c r="J297" s="238">
        <f t="shared" si="130"/>
        <v>0</v>
      </c>
      <c r="K297" s="238">
        <f t="shared" si="130"/>
        <v>0</v>
      </c>
      <c r="L297" s="238">
        <f t="shared" si="130"/>
        <v>0</v>
      </c>
      <c r="M297" s="238">
        <f t="shared" si="130"/>
        <v>0</v>
      </c>
      <c r="N297" s="238">
        <f t="shared" si="130"/>
        <v>0</v>
      </c>
      <c r="O297" s="238">
        <f t="shared" si="130"/>
        <v>0</v>
      </c>
      <c r="P297" s="56"/>
      <c r="Q297" s="56"/>
    </row>
    <row r="298" spans="1:17" ht="12.75" x14ac:dyDescent="0.2">
      <c r="A298" s="149" t="s">
        <v>225</v>
      </c>
      <c r="B298" s="238">
        <f>B297-B299</f>
        <v>0</v>
      </c>
      <c r="C298" s="238">
        <f t="shared" ref="C298:O298" si="131">C297-C299</f>
        <v>0</v>
      </c>
      <c r="D298" s="238">
        <f t="shared" si="131"/>
        <v>0</v>
      </c>
      <c r="E298" s="238">
        <f t="shared" si="131"/>
        <v>0</v>
      </c>
      <c r="F298" s="238">
        <f t="shared" si="131"/>
        <v>0</v>
      </c>
      <c r="G298" s="238">
        <f t="shared" si="131"/>
        <v>0</v>
      </c>
      <c r="H298" s="238">
        <f t="shared" si="131"/>
        <v>0</v>
      </c>
      <c r="I298" s="238">
        <f t="shared" si="131"/>
        <v>0</v>
      </c>
      <c r="J298" s="238">
        <f t="shared" si="131"/>
        <v>0</v>
      </c>
      <c r="K298" s="238">
        <f t="shared" si="131"/>
        <v>0</v>
      </c>
      <c r="L298" s="238">
        <f t="shared" si="131"/>
        <v>0</v>
      </c>
      <c r="M298" s="238">
        <f t="shared" si="131"/>
        <v>0</v>
      </c>
      <c r="N298" s="238">
        <f t="shared" si="131"/>
        <v>0</v>
      </c>
      <c r="O298" s="238">
        <f t="shared" si="131"/>
        <v>0</v>
      </c>
      <c r="P298" s="56"/>
      <c r="Q298" s="56"/>
    </row>
    <row r="299" spans="1:17" ht="12.75" x14ac:dyDescent="0.2">
      <c r="A299" s="161" t="s">
        <v>224</v>
      </c>
      <c r="B299" s="162">
        <v>0</v>
      </c>
      <c r="C299" s="162">
        <v>0</v>
      </c>
      <c r="D299" s="162">
        <v>0</v>
      </c>
      <c r="E299" s="162">
        <v>0</v>
      </c>
      <c r="F299" s="162">
        <v>0</v>
      </c>
      <c r="G299" s="162">
        <v>0</v>
      </c>
      <c r="H299" s="162">
        <v>0</v>
      </c>
      <c r="I299" s="162">
        <v>0</v>
      </c>
      <c r="J299" s="162">
        <v>0</v>
      </c>
      <c r="K299" s="162">
        <v>0</v>
      </c>
      <c r="L299" s="162">
        <v>0</v>
      </c>
      <c r="M299" s="162">
        <v>0</v>
      </c>
      <c r="N299" s="162">
        <v>0</v>
      </c>
      <c r="O299" s="162">
        <v>0</v>
      </c>
      <c r="P299" s="56"/>
      <c r="Q299" s="56"/>
    </row>
    <row r="300" spans="1:17" ht="12.75" x14ac:dyDescent="0.2">
      <c r="A300" s="291"/>
      <c r="B300" s="292"/>
      <c r="C300" s="292"/>
      <c r="D300" s="292"/>
      <c r="E300" s="292"/>
      <c r="F300" s="292"/>
      <c r="G300" s="292"/>
      <c r="H300" s="292"/>
      <c r="I300" s="292"/>
      <c r="J300" s="292"/>
      <c r="K300" s="292"/>
      <c r="L300" s="292"/>
      <c r="M300" s="292"/>
      <c r="N300" s="292"/>
      <c r="O300" s="292"/>
      <c r="P300" s="56"/>
      <c r="Q300" s="56"/>
    </row>
    <row r="301" spans="1:17" ht="12.75" x14ac:dyDescent="0.2">
      <c r="A301" s="291"/>
      <c r="B301" s="292"/>
      <c r="C301" s="292"/>
      <c r="D301" s="292"/>
      <c r="E301" s="292"/>
      <c r="F301" s="292"/>
      <c r="G301" s="292"/>
      <c r="H301" s="292"/>
      <c r="I301" s="292"/>
      <c r="J301" s="292"/>
      <c r="K301" s="292"/>
      <c r="L301" s="292"/>
      <c r="M301" s="292"/>
      <c r="N301" s="292"/>
      <c r="O301" s="292"/>
      <c r="P301" s="56"/>
      <c r="Q301" s="56"/>
    </row>
    <row r="302" spans="1:17" ht="15.75" x14ac:dyDescent="0.25">
      <c r="A302" s="178" t="str">
        <f>'Opening Positions'!B18</f>
        <v>Acumulated Deprecitation</v>
      </c>
      <c r="B302" s="154"/>
      <c r="C302" s="154"/>
      <c r="D302" s="154"/>
      <c r="E302" s="154"/>
      <c r="F302" s="154"/>
      <c r="G302" s="154"/>
      <c r="H302" s="154"/>
      <c r="I302" s="154"/>
      <c r="J302" s="154"/>
      <c r="K302" s="154"/>
      <c r="L302" s="154"/>
      <c r="M302" s="154"/>
      <c r="N302" s="154"/>
      <c r="O302" s="154"/>
      <c r="P302" s="56"/>
      <c r="Q302" s="56"/>
    </row>
    <row r="303" spans="1:17" ht="12.75" x14ac:dyDescent="0.2">
      <c r="A303" s="149" t="s">
        <v>216</v>
      </c>
      <c r="B303" s="154">
        <f>'Opening Positions'!D18</f>
        <v>0</v>
      </c>
      <c r="C303" s="154">
        <f t="shared" ref="C303:O303" si="132">B306</f>
        <v>318.50000000000006</v>
      </c>
      <c r="D303" s="154">
        <f t="shared" si="132"/>
        <v>637.00000000000011</v>
      </c>
      <c r="E303" s="154">
        <f t="shared" si="132"/>
        <v>955.50000000000023</v>
      </c>
      <c r="F303" s="154">
        <f t="shared" si="132"/>
        <v>1274.0000000000002</v>
      </c>
      <c r="G303" s="154">
        <f t="shared" si="132"/>
        <v>1592.5000000000002</v>
      </c>
      <c r="H303" s="154">
        <f t="shared" si="132"/>
        <v>1911.0000000000002</v>
      </c>
      <c r="I303" s="154">
        <f t="shared" si="132"/>
        <v>2229.5000000000005</v>
      </c>
      <c r="J303" s="154">
        <f t="shared" si="132"/>
        <v>2548.0000000000005</v>
      </c>
      <c r="K303" s="154">
        <f t="shared" si="132"/>
        <v>2866.5000000000005</v>
      </c>
      <c r="L303" s="154">
        <f t="shared" si="132"/>
        <v>3185.0000000000005</v>
      </c>
      <c r="M303" s="154">
        <f t="shared" si="132"/>
        <v>3503.5000000000005</v>
      </c>
      <c r="N303" s="154">
        <f t="shared" si="132"/>
        <v>3822.0000000000005</v>
      </c>
      <c r="O303" s="154">
        <f t="shared" si="132"/>
        <v>4140.5000000000009</v>
      </c>
      <c r="P303" s="56"/>
      <c r="Q303" s="56"/>
    </row>
    <row r="304" spans="1:17" ht="12.75" x14ac:dyDescent="0.2">
      <c r="A304" s="149" t="s">
        <v>221</v>
      </c>
      <c r="B304" s="154">
        <f>Assumptions!$B$27*(B285+B288)</f>
        <v>318.50000000000006</v>
      </c>
      <c r="C304" s="154">
        <f>Assumptions!$B$27*(C285+C288)</f>
        <v>318.50000000000006</v>
      </c>
      <c r="D304" s="154">
        <f>Assumptions!$B$27*(D285+D288)</f>
        <v>318.50000000000006</v>
      </c>
      <c r="E304" s="154">
        <f>Assumptions!$B$27*(E285+E288)</f>
        <v>318.50000000000006</v>
      </c>
      <c r="F304" s="154">
        <f>Assumptions!$B$27*(F285+F288)</f>
        <v>318.50000000000006</v>
      </c>
      <c r="G304" s="154">
        <f>Assumptions!$B$27*(G285+G288)</f>
        <v>318.50000000000006</v>
      </c>
      <c r="H304" s="154">
        <f>Assumptions!$B$27*(H285+H288)</f>
        <v>318.50000000000006</v>
      </c>
      <c r="I304" s="154">
        <f>Assumptions!$B$27*(I285+I288)</f>
        <v>318.50000000000006</v>
      </c>
      <c r="J304" s="154">
        <f>Assumptions!$B$27*(J285+J288)</f>
        <v>318.50000000000006</v>
      </c>
      <c r="K304" s="154">
        <f>Assumptions!$B$27*(K285+K288)</f>
        <v>318.50000000000006</v>
      </c>
      <c r="L304" s="154">
        <f>Assumptions!$B$27*(L285+L288)</f>
        <v>318.50000000000006</v>
      </c>
      <c r="M304" s="154">
        <f>Assumptions!$B$27*(M285+M288)</f>
        <v>318.50000000000006</v>
      </c>
      <c r="N304" s="154">
        <f>Assumptions!$B$27*(N285+N288)</f>
        <v>318.50000000000006</v>
      </c>
      <c r="O304" s="154">
        <f>Assumptions!$B$27*(O285+O288)</f>
        <v>318.50000000000006</v>
      </c>
      <c r="P304" s="56"/>
      <c r="Q304" s="56"/>
    </row>
    <row r="305" spans="1:17" ht="12.75" x14ac:dyDescent="0.2">
      <c r="A305" s="149" t="s">
        <v>222</v>
      </c>
      <c r="B305" s="154">
        <v>0</v>
      </c>
      <c r="C305" s="154">
        <v>0</v>
      </c>
      <c r="D305" s="154">
        <v>0</v>
      </c>
      <c r="E305" s="154">
        <v>0</v>
      </c>
      <c r="F305" s="154">
        <v>0</v>
      </c>
      <c r="G305" s="154">
        <v>0</v>
      </c>
      <c r="H305" s="154">
        <v>0</v>
      </c>
      <c r="I305" s="154">
        <v>0</v>
      </c>
      <c r="J305" s="154">
        <v>0</v>
      </c>
      <c r="K305" s="154">
        <v>0</v>
      </c>
      <c r="L305" s="154">
        <v>0</v>
      </c>
      <c r="M305" s="154">
        <v>0</v>
      </c>
      <c r="N305" s="154">
        <v>0</v>
      </c>
      <c r="O305" s="154">
        <v>0</v>
      </c>
      <c r="P305" s="56"/>
      <c r="Q305" s="56"/>
    </row>
    <row r="306" spans="1:17" ht="12.75" x14ac:dyDescent="0.2">
      <c r="A306" s="161" t="s">
        <v>218</v>
      </c>
      <c r="B306" s="162">
        <f t="shared" ref="B306:O306" si="133">B303+B304+B305</f>
        <v>318.50000000000006</v>
      </c>
      <c r="C306" s="162">
        <f t="shared" si="133"/>
        <v>637.00000000000011</v>
      </c>
      <c r="D306" s="162">
        <f t="shared" si="133"/>
        <v>955.50000000000023</v>
      </c>
      <c r="E306" s="162">
        <f t="shared" si="133"/>
        <v>1274.0000000000002</v>
      </c>
      <c r="F306" s="162">
        <f t="shared" si="133"/>
        <v>1592.5000000000002</v>
      </c>
      <c r="G306" s="162">
        <f t="shared" si="133"/>
        <v>1911.0000000000002</v>
      </c>
      <c r="H306" s="162">
        <f t="shared" si="133"/>
        <v>2229.5000000000005</v>
      </c>
      <c r="I306" s="162">
        <f t="shared" si="133"/>
        <v>2548.0000000000005</v>
      </c>
      <c r="J306" s="162">
        <f t="shared" si="133"/>
        <v>2866.5000000000005</v>
      </c>
      <c r="K306" s="162">
        <f t="shared" si="133"/>
        <v>3185.0000000000005</v>
      </c>
      <c r="L306" s="162">
        <f t="shared" si="133"/>
        <v>3503.5000000000005</v>
      </c>
      <c r="M306" s="162">
        <f t="shared" si="133"/>
        <v>3822.0000000000005</v>
      </c>
      <c r="N306" s="162">
        <f t="shared" si="133"/>
        <v>4140.5000000000009</v>
      </c>
      <c r="O306" s="162">
        <f t="shared" si="133"/>
        <v>4459.0000000000009</v>
      </c>
      <c r="P306" s="56"/>
      <c r="Q306" s="56"/>
    </row>
    <row r="307" spans="1:17" ht="12.75" x14ac:dyDescent="0.2">
      <c r="A307" s="177"/>
      <c r="B307" s="248"/>
      <c r="C307" s="248"/>
      <c r="D307" s="248"/>
      <c r="E307" s="248"/>
      <c r="F307" s="248"/>
      <c r="G307" s="248"/>
      <c r="H307" s="248"/>
      <c r="I307" s="248"/>
      <c r="J307" s="248"/>
      <c r="K307" s="248"/>
      <c r="L307" s="248"/>
      <c r="M307" s="248"/>
      <c r="N307" s="248"/>
      <c r="O307" s="248"/>
      <c r="P307" s="56"/>
      <c r="Q307" s="56"/>
    </row>
    <row r="308" spans="1:17" ht="15.75" x14ac:dyDescent="0.25">
      <c r="A308" s="178" t="s">
        <v>88</v>
      </c>
      <c r="B308" s="154"/>
      <c r="C308" s="154"/>
      <c r="D308" s="154"/>
      <c r="E308" s="154"/>
      <c r="F308" s="154"/>
      <c r="G308" s="154"/>
      <c r="H308" s="154"/>
      <c r="I308" s="154"/>
      <c r="J308" s="154"/>
      <c r="K308" s="154"/>
      <c r="L308" s="154"/>
      <c r="M308" s="154"/>
      <c r="N308" s="154"/>
      <c r="O308" s="154"/>
      <c r="P308" s="56"/>
      <c r="Q308" s="56"/>
    </row>
    <row r="309" spans="1:17" ht="12.75" x14ac:dyDescent="0.2">
      <c r="A309" s="149" t="s">
        <v>216</v>
      </c>
      <c r="B309" s="154">
        <v>0</v>
      </c>
      <c r="C309" s="154">
        <f t="shared" ref="C309:O309" si="134">B311</f>
        <v>0</v>
      </c>
      <c r="D309" s="154">
        <f t="shared" si="134"/>
        <v>0</v>
      </c>
      <c r="E309" s="154">
        <f t="shared" si="134"/>
        <v>0</v>
      </c>
      <c r="F309" s="154">
        <f t="shared" si="134"/>
        <v>0</v>
      </c>
      <c r="G309" s="154">
        <f t="shared" si="134"/>
        <v>0</v>
      </c>
      <c r="H309" s="154">
        <f t="shared" si="134"/>
        <v>0</v>
      </c>
      <c r="I309" s="154">
        <f t="shared" si="134"/>
        <v>0</v>
      </c>
      <c r="J309" s="154">
        <f t="shared" si="134"/>
        <v>0</v>
      </c>
      <c r="K309" s="154">
        <f t="shared" si="134"/>
        <v>0</v>
      </c>
      <c r="L309" s="154">
        <f t="shared" si="134"/>
        <v>0</v>
      </c>
      <c r="M309" s="154">
        <f t="shared" si="134"/>
        <v>0</v>
      </c>
      <c r="N309" s="154">
        <f t="shared" si="134"/>
        <v>0</v>
      </c>
      <c r="O309" s="154">
        <f t="shared" si="134"/>
        <v>0</v>
      </c>
      <c r="P309" s="56"/>
      <c r="Q309" s="56"/>
    </row>
    <row r="310" spans="1:17" ht="12.75" x14ac:dyDescent="0.2">
      <c r="A310" s="149" t="s">
        <v>88</v>
      </c>
      <c r="B310" s="154">
        <f t="shared" ref="B310:O310" si="135">B242</f>
        <v>0</v>
      </c>
      <c r="C310" s="154">
        <f t="shared" si="135"/>
        <v>0</v>
      </c>
      <c r="D310" s="154">
        <f t="shared" si="135"/>
        <v>0</v>
      </c>
      <c r="E310" s="154">
        <f t="shared" si="135"/>
        <v>0</v>
      </c>
      <c r="F310" s="154">
        <f t="shared" si="135"/>
        <v>0</v>
      </c>
      <c r="G310" s="154">
        <f t="shared" si="135"/>
        <v>0</v>
      </c>
      <c r="H310" s="154">
        <f t="shared" si="135"/>
        <v>0</v>
      </c>
      <c r="I310" s="154">
        <f t="shared" si="135"/>
        <v>0</v>
      </c>
      <c r="J310" s="154">
        <f t="shared" si="135"/>
        <v>0</v>
      </c>
      <c r="K310" s="154">
        <f t="shared" si="135"/>
        <v>0</v>
      </c>
      <c r="L310" s="154">
        <f t="shared" si="135"/>
        <v>0</v>
      </c>
      <c r="M310" s="154">
        <f t="shared" si="135"/>
        <v>0</v>
      </c>
      <c r="N310" s="154">
        <f t="shared" si="135"/>
        <v>0</v>
      </c>
      <c r="O310" s="154">
        <f t="shared" si="135"/>
        <v>0</v>
      </c>
      <c r="P310" s="56"/>
      <c r="Q310" s="56"/>
    </row>
    <row r="311" spans="1:17" ht="12.75" x14ac:dyDescent="0.2">
      <c r="A311" s="161" t="s">
        <v>218</v>
      </c>
      <c r="B311" s="162">
        <f t="shared" ref="B311:O311" si="136">B310+B309</f>
        <v>0</v>
      </c>
      <c r="C311" s="162">
        <f t="shared" si="136"/>
        <v>0</v>
      </c>
      <c r="D311" s="162">
        <f t="shared" si="136"/>
        <v>0</v>
      </c>
      <c r="E311" s="162">
        <f t="shared" si="136"/>
        <v>0</v>
      </c>
      <c r="F311" s="162">
        <f t="shared" si="136"/>
        <v>0</v>
      </c>
      <c r="G311" s="162">
        <f t="shared" si="136"/>
        <v>0</v>
      </c>
      <c r="H311" s="162">
        <f t="shared" si="136"/>
        <v>0</v>
      </c>
      <c r="I311" s="162">
        <f t="shared" si="136"/>
        <v>0</v>
      </c>
      <c r="J311" s="162">
        <f t="shared" si="136"/>
        <v>0</v>
      </c>
      <c r="K311" s="162">
        <f t="shared" si="136"/>
        <v>0</v>
      </c>
      <c r="L311" s="162">
        <f t="shared" si="136"/>
        <v>0</v>
      </c>
      <c r="M311" s="162">
        <f t="shared" si="136"/>
        <v>0</v>
      </c>
      <c r="N311" s="162">
        <f t="shared" si="136"/>
        <v>0</v>
      </c>
      <c r="O311" s="162">
        <f t="shared" si="136"/>
        <v>0</v>
      </c>
      <c r="P311" s="56"/>
      <c r="Q311" s="56"/>
    </row>
    <row r="312" spans="1:17" ht="12.75" x14ac:dyDescent="0.2">
      <c r="A312" s="177"/>
      <c r="B312" s="248"/>
      <c r="C312" s="248"/>
      <c r="D312" s="248"/>
      <c r="E312" s="248"/>
      <c r="F312" s="248"/>
      <c r="G312" s="248"/>
      <c r="H312" s="248"/>
      <c r="I312" s="248"/>
      <c r="J312" s="248"/>
      <c r="K312" s="248"/>
      <c r="L312" s="248"/>
      <c r="M312" s="248"/>
      <c r="N312" s="248"/>
      <c r="O312" s="248"/>
      <c r="P312" s="56"/>
      <c r="Q312" s="56"/>
    </row>
    <row r="313" spans="1:17" ht="15.75" x14ac:dyDescent="0.25">
      <c r="A313" s="178" t="str">
        <f>'Opening Positions'!E9</f>
        <v>Acc/Payables-Suppliers</v>
      </c>
      <c r="B313" s="154"/>
      <c r="C313" s="154"/>
      <c r="D313" s="154"/>
      <c r="E313" s="154"/>
      <c r="F313" s="154"/>
      <c r="G313" s="154"/>
      <c r="H313" s="154"/>
      <c r="I313" s="154"/>
      <c r="J313" s="154"/>
      <c r="K313" s="154"/>
      <c r="L313" s="154"/>
      <c r="M313" s="154"/>
      <c r="N313" s="154"/>
      <c r="O313" s="154"/>
      <c r="P313" s="56"/>
      <c r="Q313" s="56"/>
    </row>
    <row r="314" spans="1:17" ht="12.75" x14ac:dyDescent="0.2">
      <c r="A314" s="149" t="s">
        <v>216</v>
      </c>
      <c r="B314" s="154">
        <f>'Opening Positions'!G9</f>
        <v>70</v>
      </c>
      <c r="C314" s="154">
        <f t="shared" ref="C314:O314" si="137">B315</f>
        <v>155.19611232311317</v>
      </c>
      <c r="D314" s="154">
        <f t="shared" si="137"/>
        <v>158.85060451061318</v>
      </c>
      <c r="E314" s="154">
        <f t="shared" si="137"/>
        <v>156.92533107311317</v>
      </c>
      <c r="F314" s="154">
        <f t="shared" si="137"/>
        <v>156.11601076061316</v>
      </c>
      <c r="G314" s="154">
        <f t="shared" si="137"/>
        <v>155.08349982311319</v>
      </c>
      <c r="H314" s="154">
        <f t="shared" si="137"/>
        <v>154.09562701061316</v>
      </c>
      <c r="I314" s="154">
        <f t="shared" si="137"/>
        <v>153.09882657311317</v>
      </c>
      <c r="J314" s="154">
        <f t="shared" si="137"/>
        <v>152.10381166061316</v>
      </c>
      <c r="K314" s="154">
        <f t="shared" si="137"/>
        <v>151.10843964311317</v>
      </c>
      <c r="L314" s="154">
        <f t="shared" si="137"/>
        <v>150.11313904661318</v>
      </c>
      <c r="M314" s="154">
        <f t="shared" si="137"/>
        <v>149.11782416591319</v>
      </c>
      <c r="N314" s="154">
        <f t="shared" si="137"/>
        <v>148.12251214205315</v>
      </c>
      <c r="O314" s="154">
        <f t="shared" si="137"/>
        <v>147.12719954682518</v>
      </c>
      <c r="P314" s="56"/>
      <c r="Q314" s="56"/>
    </row>
    <row r="315" spans="1:17" ht="12.75" x14ac:dyDescent="0.2">
      <c r="A315" s="149" t="s">
        <v>218</v>
      </c>
      <c r="B315" s="154">
        <f>B75*(Assumptions!B21/12)</f>
        <v>155.19611232311317</v>
      </c>
      <c r="C315" s="154">
        <f>C75*(Assumptions!C21/12)</f>
        <v>158.85060451061318</v>
      </c>
      <c r="D315" s="154">
        <f>D75*(Assumptions!D21/12)</f>
        <v>156.92533107311317</v>
      </c>
      <c r="E315" s="154">
        <f>E75*(Assumptions!E21/12)</f>
        <v>156.11601076061316</v>
      </c>
      <c r="F315" s="154">
        <f>F75*(Assumptions!$F21/12)</f>
        <v>155.08349982311319</v>
      </c>
      <c r="G315" s="154">
        <f>G75*(Assumptions!$F21/12)</f>
        <v>154.09562701061316</v>
      </c>
      <c r="H315" s="154">
        <f>H75*(Assumptions!$F21/12)</f>
        <v>153.09882657311317</v>
      </c>
      <c r="I315" s="154">
        <f>I75*(Assumptions!$F21/12)</f>
        <v>152.10381166061316</v>
      </c>
      <c r="J315" s="154">
        <f>J75*(Assumptions!$F21/12)</f>
        <v>151.10843964311317</v>
      </c>
      <c r="K315" s="154">
        <f>K75*(Assumptions!$F21/12)</f>
        <v>150.11313904661318</v>
      </c>
      <c r="L315" s="154">
        <f>L75*(Assumptions!$F21/12)</f>
        <v>149.11782416591319</v>
      </c>
      <c r="M315" s="154">
        <f>M75*(Assumptions!$F21/12)</f>
        <v>148.12251214205315</v>
      </c>
      <c r="N315" s="154">
        <f>N75*(Assumptions!$F21/12)</f>
        <v>147.12719954682518</v>
      </c>
      <c r="O315" s="154">
        <f>O75*(Assumptions!$F21/12)</f>
        <v>146.13188706587076</v>
      </c>
      <c r="P315" s="56"/>
      <c r="Q315" s="56"/>
    </row>
    <row r="316" spans="1:17" ht="12.75" x14ac:dyDescent="0.2">
      <c r="A316" s="161" t="s">
        <v>224</v>
      </c>
      <c r="B316" s="162">
        <f t="shared" ref="B316:O316" si="138">B315-B314</f>
        <v>85.196112323113169</v>
      </c>
      <c r="C316" s="162">
        <f t="shared" si="138"/>
        <v>3.6544921875000114</v>
      </c>
      <c r="D316" s="162">
        <f t="shared" si="138"/>
        <v>-1.9252734375000102</v>
      </c>
      <c r="E316" s="162">
        <f t="shared" si="138"/>
        <v>-0.80932031250000591</v>
      </c>
      <c r="F316" s="162">
        <f t="shared" si="138"/>
        <v>-1.0325109374999784</v>
      </c>
      <c r="G316" s="162">
        <f t="shared" si="138"/>
        <v>-0.98787281250002934</v>
      </c>
      <c r="H316" s="162">
        <f t="shared" si="138"/>
        <v>-0.99680043749998504</v>
      </c>
      <c r="I316" s="162">
        <f t="shared" si="138"/>
        <v>-0.99501491250001095</v>
      </c>
      <c r="J316" s="162">
        <f t="shared" si="138"/>
        <v>-0.99537201749998871</v>
      </c>
      <c r="K316" s="162">
        <f t="shared" si="138"/>
        <v>-0.99530059649998748</v>
      </c>
      <c r="L316" s="162">
        <f t="shared" si="138"/>
        <v>-0.99531488069999341</v>
      </c>
      <c r="M316" s="162">
        <f t="shared" si="138"/>
        <v>-0.9953120238600377</v>
      </c>
      <c r="N316" s="162">
        <f t="shared" si="138"/>
        <v>-0.995312595227972</v>
      </c>
      <c r="O316" s="162">
        <f t="shared" si="138"/>
        <v>-0.99531248095442493</v>
      </c>
      <c r="P316" s="56"/>
      <c r="Q316" s="56"/>
    </row>
    <row r="317" spans="1:17" ht="12.75" x14ac:dyDescent="0.2">
      <c r="A317" s="177"/>
      <c r="B317" s="248"/>
      <c r="C317" s="248"/>
      <c r="D317" s="248"/>
      <c r="E317" s="248"/>
      <c r="F317" s="248"/>
      <c r="G317" s="248"/>
      <c r="H317" s="248"/>
      <c r="I317" s="248"/>
      <c r="J317" s="248"/>
      <c r="K317" s="248"/>
      <c r="L317" s="248"/>
      <c r="M317" s="248"/>
      <c r="N317" s="248"/>
      <c r="O317" s="248"/>
      <c r="P317" s="56"/>
      <c r="Q317" s="56"/>
    </row>
    <row r="318" spans="1:17" ht="12.75" x14ac:dyDescent="0.2">
      <c r="A318" s="183"/>
      <c r="B318" s="238"/>
      <c r="C318" s="238"/>
      <c r="D318" s="238"/>
      <c r="E318" s="238"/>
      <c r="F318" s="238"/>
      <c r="G318" s="238"/>
      <c r="H318" s="238"/>
      <c r="I318" s="238"/>
      <c r="J318" s="238"/>
      <c r="K318" s="238"/>
      <c r="L318" s="238"/>
      <c r="M318" s="238"/>
      <c r="N318" s="238"/>
      <c r="O318" s="238"/>
      <c r="P318" s="56"/>
      <c r="Q318" s="56"/>
    </row>
    <row r="319" spans="1:17" x14ac:dyDescent="0.15">
      <c r="A319" s="451"/>
      <c r="B319" s="451"/>
      <c r="C319" s="451"/>
      <c r="D319" s="451"/>
      <c r="E319" s="451"/>
      <c r="F319" s="451"/>
      <c r="G319" s="451"/>
      <c r="H319" s="451"/>
      <c r="I319" s="451"/>
      <c r="J319" s="451"/>
      <c r="K319" s="451"/>
      <c r="L319" s="451"/>
      <c r="M319" s="451"/>
      <c r="N319" s="451"/>
      <c r="O319" s="451"/>
      <c r="P319" s="56"/>
      <c r="Q319" s="56"/>
    </row>
    <row r="320" spans="1:17" ht="12.75" x14ac:dyDescent="0.2">
      <c r="A320" s="183"/>
      <c r="B320" s="238"/>
      <c r="C320" s="238"/>
      <c r="D320" s="238"/>
      <c r="E320" s="238"/>
      <c r="F320" s="238"/>
      <c r="G320" s="238"/>
      <c r="H320" s="238"/>
      <c r="I320" s="238"/>
      <c r="J320" s="238"/>
      <c r="K320" s="238"/>
      <c r="L320" s="238"/>
      <c r="M320" s="238"/>
      <c r="N320" s="238"/>
      <c r="O320" s="238"/>
      <c r="P320" s="56"/>
      <c r="Q320" s="56"/>
    </row>
    <row r="321" spans="1:17" ht="15.75" x14ac:dyDescent="0.25">
      <c r="A321" s="178" t="str">
        <f>'Opening Positions'!E15</f>
        <v>Capital Account</v>
      </c>
      <c r="B321" s="154"/>
      <c r="C321" s="154"/>
      <c r="D321" s="154"/>
      <c r="E321" s="154"/>
      <c r="F321" s="154"/>
      <c r="G321" s="154"/>
      <c r="H321" s="154"/>
      <c r="I321" s="154"/>
      <c r="J321" s="154"/>
      <c r="K321" s="154"/>
      <c r="L321" s="154"/>
      <c r="M321" s="154"/>
      <c r="N321" s="154"/>
      <c r="O321" s="154"/>
      <c r="P321" s="56"/>
      <c r="Q321" s="56"/>
    </row>
    <row r="322" spans="1:17" ht="12.75" x14ac:dyDescent="0.2">
      <c r="A322" s="149" t="s">
        <v>226</v>
      </c>
      <c r="B322" s="154">
        <f>'Opening Positions'!G15</f>
        <v>5600</v>
      </c>
      <c r="C322" s="154">
        <f t="shared" ref="C322:O322" si="139">B324</f>
        <v>5600</v>
      </c>
      <c r="D322" s="154">
        <f t="shared" si="139"/>
        <v>5640.805810455975</v>
      </c>
      <c r="E322" s="154">
        <f t="shared" si="139"/>
        <v>5729.1050334905658</v>
      </c>
      <c r="F322" s="154">
        <f t="shared" si="139"/>
        <v>5747.2969815251572</v>
      </c>
      <c r="G322" s="154">
        <f t="shared" si="139"/>
        <v>5747.2969815251572</v>
      </c>
      <c r="H322" s="154">
        <f t="shared" si="139"/>
        <v>5747.2969815251572</v>
      </c>
      <c r="I322" s="154">
        <f t="shared" si="139"/>
        <v>5747.2969815251572</v>
      </c>
      <c r="J322" s="154">
        <f t="shared" si="139"/>
        <v>5747.2969815251572</v>
      </c>
      <c r="K322" s="154">
        <f t="shared" si="139"/>
        <v>5747.2969815251572</v>
      </c>
      <c r="L322" s="154">
        <f t="shared" si="139"/>
        <v>5747.2969815251572</v>
      </c>
      <c r="M322" s="154">
        <f t="shared" si="139"/>
        <v>5747.2969815251572</v>
      </c>
      <c r="N322" s="154">
        <f t="shared" si="139"/>
        <v>5747.2969815251572</v>
      </c>
      <c r="O322" s="154">
        <f t="shared" si="139"/>
        <v>5747.2969815251572</v>
      </c>
      <c r="P322" s="56"/>
      <c r="Q322" s="56"/>
    </row>
    <row r="323" spans="1:17" ht="12.75" x14ac:dyDescent="0.2">
      <c r="A323" s="149" t="s">
        <v>228</v>
      </c>
      <c r="B323" s="154">
        <f t="shared" ref="B323:O323" si="140">B130</f>
        <v>0</v>
      </c>
      <c r="C323" s="154">
        <f t="shared" si="140"/>
        <v>40.805810455975035</v>
      </c>
      <c r="D323" s="154">
        <f t="shared" si="140"/>
        <v>88.299223034591137</v>
      </c>
      <c r="E323" s="154">
        <f t="shared" si="140"/>
        <v>18.191948034591235</v>
      </c>
      <c r="F323" s="154">
        <f t="shared" si="140"/>
        <v>0</v>
      </c>
      <c r="G323" s="154">
        <f t="shared" si="140"/>
        <v>0</v>
      </c>
      <c r="H323" s="154">
        <f t="shared" si="140"/>
        <v>0</v>
      </c>
      <c r="I323" s="154">
        <f t="shared" si="140"/>
        <v>0</v>
      </c>
      <c r="J323" s="154">
        <f t="shared" si="140"/>
        <v>0</v>
      </c>
      <c r="K323" s="154">
        <f t="shared" si="140"/>
        <v>0</v>
      </c>
      <c r="L323" s="154">
        <f t="shared" si="140"/>
        <v>0</v>
      </c>
      <c r="M323" s="154">
        <f t="shared" si="140"/>
        <v>0</v>
      </c>
      <c r="N323" s="154">
        <f t="shared" si="140"/>
        <v>0</v>
      </c>
      <c r="O323" s="154">
        <f t="shared" si="140"/>
        <v>0</v>
      </c>
      <c r="P323" s="56"/>
      <c r="Q323" s="56"/>
    </row>
    <row r="324" spans="1:17" ht="12.75" x14ac:dyDescent="0.2">
      <c r="A324" s="161" t="s">
        <v>218</v>
      </c>
      <c r="B324" s="162">
        <f t="shared" ref="B324:O324" si="141">B322+B323</f>
        <v>5600</v>
      </c>
      <c r="C324" s="162">
        <f t="shared" si="141"/>
        <v>5640.805810455975</v>
      </c>
      <c r="D324" s="162">
        <f t="shared" si="141"/>
        <v>5729.1050334905658</v>
      </c>
      <c r="E324" s="162">
        <f t="shared" si="141"/>
        <v>5747.2969815251572</v>
      </c>
      <c r="F324" s="162">
        <f t="shared" si="141"/>
        <v>5747.2969815251572</v>
      </c>
      <c r="G324" s="162">
        <f t="shared" si="141"/>
        <v>5747.2969815251572</v>
      </c>
      <c r="H324" s="162">
        <f t="shared" si="141"/>
        <v>5747.2969815251572</v>
      </c>
      <c r="I324" s="162">
        <f t="shared" si="141"/>
        <v>5747.2969815251572</v>
      </c>
      <c r="J324" s="162">
        <f t="shared" si="141"/>
        <v>5747.2969815251572</v>
      </c>
      <c r="K324" s="162">
        <f t="shared" si="141"/>
        <v>5747.2969815251572</v>
      </c>
      <c r="L324" s="162">
        <f t="shared" si="141"/>
        <v>5747.2969815251572</v>
      </c>
      <c r="M324" s="162">
        <f t="shared" si="141"/>
        <v>5747.2969815251572</v>
      </c>
      <c r="N324" s="162">
        <f t="shared" si="141"/>
        <v>5747.2969815251572</v>
      </c>
      <c r="O324" s="162">
        <f t="shared" si="141"/>
        <v>5747.2969815251572</v>
      </c>
      <c r="P324" s="56"/>
      <c r="Q324" s="56"/>
    </row>
    <row r="325" spans="1:17" ht="12.75" x14ac:dyDescent="0.2">
      <c r="A325" s="183"/>
      <c r="B325" s="238"/>
      <c r="C325" s="238"/>
      <c r="D325" s="238"/>
      <c r="E325" s="238"/>
      <c r="F325" s="238"/>
      <c r="G325" s="238"/>
      <c r="H325" s="238"/>
      <c r="I325" s="238"/>
      <c r="J325" s="238"/>
      <c r="K325" s="238"/>
      <c r="L325" s="238"/>
      <c r="M325" s="238"/>
      <c r="N325" s="238"/>
      <c r="O325" s="238"/>
      <c r="P325" s="56"/>
      <c r="Q325" s="56"/>
    </row>
    <row r="326" spans="1:17" ht="15.75" x14ac:dyDescent="0.25">
      <c r="A326" s="253" t="str">
        <f>'Opening Positions'!E18</f>
        <v>Retained Earnings</v>
      </c>
      <c r="B326" s="238"/>
      <c r="C326" s="238"/>
      <c r="D326" s="238"/>
      <c r="E326" s="238"/>
      <c r="F326" s="238"/>
      <c r="G326" s="238"/>
      <c r="H326" s="238"/>
      <c r="I326" s="238"/>
      <c r="J326" s="238"/>
      <c r="K326" s="238"/>
      <c r="L326" s="238"/>
      <c r="M326" s="238"/>
      <c r="N326" s="238"/>
      <c r="O326" s="238"/>
      <c r="P326" s="56"/>
      <c r="Q326" s="56"/>
    </row>
    <row r="327" spans="1:17" ht="12.75" x14ac:dyDescent="0.2">
      <c r="A327" s="181" t="s">
        <v>71</v>
      </c>
      <c r="B327" s="238">
        <f>'Opening Positions'!G18</f>
        <v>130</v>
      </c>
      <c r="C327" s="238">
        <f>B329</f>
        <v>513.35463113207538</v>
      </c>
      <c r="D327" s="238">
        <f t="shared" ref="D327:O327" si="142">C329</f>
        <v>881.32051226415069</v>
      </c>
      <c r="E327" s="238">
        <f t="shared" si="142"/>
        <v>1277.6081433962261</v>
      </c>
      <c r="F327" s="238">
        <f t="shared" si="142"/>
        <v>1735.0754245283015</v>
      </c>
      <c r="G327" s="238">
        <f t="shared" si="142"/>
        <v>2295.1507756603769</v>
      </c>
      <c r="H327" s="238">
        <f t="shared" si="142"/>
        <v>2925.5485127924521</v>
      </c>
      <c r="I327" s="238">
        <f t="shared" si="142"/>
        <v>3562.3257727245273</v>
      </c>
      <c r="J327" s="238">
        <f t="shared" si="142"/>
        <v>4205.471128096603</v>
      </c>
      <c r="K327" s="238">
        <f t="shared" si="142"/>
        <v>4854.9868643806785</v>
      </c>
      <c r="L327" s="238">
        <f t="shared" si="142"/>
        <v>5510.8725244823536</v>
      </c>
      <c r="M327" s="238">
        <f t="shared" si="142"/>
        <v>6173.1281998205086</v>
      </c>
      <c r="N327" s="238">
        <f t="shared" si="142"/>
        <v>6841.7538721113679</v>
      </c>
      <c r="O327" s="238">
        <f t="shared" si="142"/>
        <v>7516.7495450116867</v>
      </c>
      <c r="P327" s="56"/>
      <c r="Q327" s="56"/>
    </row>
    <row r="328" spans="1:17" ht="12.75" x14ac:dyDescent="0.2">
      <c r="A328" s="149" t="s">
        <v>227</v>
      </c>
      <c r="B328" s="154">
        <f t="shared" ref="B328:O328" si="143">B86</f>
        <v>383.35463113207533</v>
      </c>
      <c r="C328" s="154">
        <f t="shared" si="143"/>
        <v>367.96588113207525</v>
      </c>
      <c r="D328" s="154">
        <f t="shared" si="143"/>
        <v>396.28763113207532</v>
      </c>
      <c r="E328" s="154">
        <f t="shared" si="143"/>
        <v>457.46728113207536</v>
      </c>
      <c r="F328" s="154">
        <f t="shared" si="143"/>
        <v>560.07535113207518</v>
      </c>
      <c r="G328" s="154">
        <f t="shared" si="143"/>
        <v>630.39773713207546</v>
      </c>
      <c r="H328" s="154">
        <f t="shared" si="143"/>
        <v>636.77725993207537</v>
      </c>
      <c r="I328" s="154">
        <f t="shared" si="143"/>
        <v>643.14535537207541</v>
      </c>
      <c r="J328" s="154">
        <f t="shared" si="143"/>
        <v>649.51573628407527</v>
      </c>
      <c r="K328" s="154">
        <f t="shared" si="143"/>
        <v>655.88566010167528</v>
      </c>
      <c r="L328" s="154">
        <f t="shared" si="143"/>
        <v>662.25567533815524</v>
      </c>
      <c r="M328" s="154">
        <f t="shared" si="143"/>
        <v>668.62567229085948</v>
      </c>
      <c r="N328" s="154">
        <f t="shared" si="143"/>
        <v>674.99567290031848</v>
      </c>
      <c r="O328" s="154">
        <f t="shared" si="143"/>
        <v>681.36567277842676</v>
      </c>
      <c r="P328" s="56"/>
      <c r="Q328" s="56"/>
    </row>
    <row r="329" spans="1:17" ht="12.75" x14ac:dyDescent="0.2">
      <c r="A329" s="161" t="s">
        <v>225</v>
      </c>
      <c r="B329" s="162">
        <f>B327+B328</f>
        <v>513.35463113207538</v>
      </c>
      <c r="C329" s="162">
        <f t="shared" ref="C329:O329" si="144">C327+C328</f>
        <v>881.32051226415069</v>
      </c>
      <c r="D329" s="162">
        <f t="shared" si="144"/>
        <v>1277.6081433962261</v>
      </c>
      <c r="E329" s="162">
        <f t="shared" si="144"/>
        <v>1735.0754245283015</v>
      </c>
      <c r="F329" s="162">
        <f t="shared" si="144"/>
        <v>2295.1507756603769</v>
      </c>
      <c r="G329" s="162">
        <f t="shared" si="144"/>
        <v>2925.5485127924521</v>
      </c>
      <c r="H329" s="162">
        <f t="shared" si="144"/>
        <v>3562.3257727245273</v>
      </c>
      <c r="I329" s="162">
        <f t="shared" si="144"/>
        <v>4205.471128096603</v>
      </c>
      <c r="J329" s="162">
        <f t="shared" si="144"/>
        <v>4854.9868643806785</v>
      </c>
      <c r="K329" s="162">
        <f t="shared" si="144"/>
        <v>5510.8725244823536</v>
      </c>
      <c r="L329" s="162">
        <f t="shared" si="144"/>
        <v>6173.1281998205086</v>
      </c>
      <c r="M329" s="162">
        <f t="shared" si="144"/>
        <v>6841.7538721113679</v>
      </c>
      <c r="N329" s="162">
        <f t="shared" si="144"/>
        <v>7516.7495450116867</v>
      </c>
      <c r="O329" s="162">
        <f t="shared" si="144"/>
        <v>8198.1152177901131</v>
      </c>
      <c r="P329" s="56"/>
      <c r="Q329" s="56"/>
    </row>
    <row r="330" spans="1:17" ht="12.75" x14ac:dyDescent="0.2">
      <c r="A330" s="183"/>
      <c r="B330" s="238"/>
      <c r="C330" s="238"/>
      <c r="D330" s="238"/>
      <c r="E330" s="238"/>
      <c r="F330" s="238"/>
      <c r="G330" s="238"/>
      <c r="H330" s="238"/>
      <c r="I330" s="238"/>
      <c r="J330" s="238"/>
      <c r="K330" s="238"/>
      <c r="L330" s="238"/>
      <c r="M330" s="238"/>
      <c r="N330" s="238"/>
      <c r="O330" s="238"/>
      <c r="P330" s="56"/>
      <c r="Q330" s="56"/>
    </row>
    <row r="331" spans="1:17" ht="15.75" x14ac:dyDescent="0.25">
      <c r="A331" s="253" t="s">
        <v>286</v>
      </c>
      <c r="B331" s="238"/>
      <c r="C331" s="238"/>
      <c r="D331" s="238"/>
      <c r="E331" s="238"/>
      <c r="F331" s="238"/>
      <c r="G331" s="238"/>
      <c r="H331" s="238"/>
      <c r="I331" s="238"/>
      <c r="J331" s="238"/>
      <c r="K331" s="238"/>
      <c r="L331" s="238"/>
      <c r="M331" s="238"/>
      <c r="N331" s="238"/>
      <c r="O331" s="238"/>
      <c r="P331" s="56"/>
      <c r="Q331" s="56"/>
    </row>
    <row r="332" spans="1:17" ht="12.75" x14ac:dyDescent="0.2">
      <c r="A332" s="149" t="s">
        <v>226</v>
      </c>
      <c r="B332" s="238">
        <f>'Opening Positions'!G17</f>
        <v>1050</v>
      </c>
      <c r="C332" s="238">
        <f t="shared" ref="C332:O332" si="145">B334</f>
        <v>1050</v>
      </c>
      <c r="D332" s="238">
        <f t="shared" si="145"/>
        <v>1050</v>
      </c>
      <c r="E332" s="238">
        <f t="shared" si="145"/>
        <v>1050</v>
      </c>
      <c r="F332" s="238">
        <f t="shared" si="145"/>
        <v>1050</v>
      </c>
      <c r="G332" s="238">
        <f t="shared" si="145"/>
        <v>1050</v>
      </c>
      <c r="H332" s="238">
        <f t="shared" si="145"/>
        <v>1050</v>
      </c>
      <c r="I332" s="238">
        <f t="shared" si="145"/>
        <v>1050</v>
      </c>
      <c r="J332" s="238">
        <f t="shared" si="145"/>
        <v>1050</v>
      </c>
      <c r="K332" s="238">
        <f t="shared" si="145"/>
        <v>1050</v>
      </c>
      <c r="L332" s="238">
        <f t="shared" si="145"/>
        <v>1050</v>
      </c>
      <c r="M332" s="238">
        <f t="shared" si="145"/>
        <v>1050</v>
      </c>
      <c r="N332" s="238">
        <f t="shared" si="145"/>
        <v>1050</v>
      </c>
      <c r="O332" s="238">
        <f t="shared" si="145"/>
        <v>1050</v>
      </c>
      <c r="P332" s="56"/>
      <c r="Q332" s="56"/>
    </row>
    <row r="333" spans="1:17" ht="12.75" x14ac:dyDescent="0.2">
      <c r="A333" s="254" t="s">
        <v>86</v>
      </c>
      <c r="B333" s="238">
        <f>'Projects &amp; Financing'!B26</f>
        <v>0</v>
      </c>
      <c r="C333" s="238">
        <f>'Projects &amp; Financing'!C26</f>
        <v>0</v>
      </c>
      <c r="D333" s="238">
        <f>'Projects &amp; Financing'!D26</f>
        <v>0</v>
      </c>
      <c r="E333" s="238">
        <f>'Projects &amp; Financing'!E26</f>
        <v>0</v>
      </c>
      <c r="F333" s="238">
        <f>'Projects &amp; Financing'!F26</f>
        <v>0</v>
      </c>
      <c r="G333" s="238">
        <f>'Projects &amp; Financing'!G26</f>
        <v>0</v>
      </c>
      <c r="H333" s="238">
        <f>'Projects &amp; Financing'!H26</f>
        <v>0</v>
      </c>
      <c r="I333" s="238">
        <f>'Projects &amp; Financing'!I26</f>
        <v>0</v>
      </c>
      <c r="J333" s="238">
        <f>'Projects &amp; Financing'!J26</f>
        <v>0</v>
      </c>
      <c r="K333" s="238">
        <f>'Projects &amp; Financing'!K26</f>
        <v>0</v>
      </c>
      <c r="L333" s="238">
        <f>'Projects &amp; Financing'!L26</f>
        <v>0</v>
      </c>
      <c r="M333" s="238">
        <f>'Projects &amp; Financing'!M26</f>
        <v>0</v>
      </c>
      <c r="N333" s="238">
        <f>'Projects &amp; Financing'!N26</f>
        <v>0</v>
      </c>
      <c r="O333" s="238">
        <f>'Projects &amp; Financing'!O26</f>
        <v>0</v>
      </c>
      <c r="P333" s="56"/>
      <c r="Q333" s="56"/>
    </row>
    <row r="334" spans="1:17" ht="12.75" x14ac:dyDescent="0.2">
      <c r="A334" s="161" t="s">
        <v>218</v>
      </c>
      <c r="B334" s="162">
        <f>B332+B333</f>
        <v>1050</v>
      </c>
      <c r="C334" s="162">
        <f t="shared" ref="C334:O334" si="146">C332+C333</f>
        <v>1050</v>
      </c>
      <c r="D334" s="162">
        <f t="shared" si="146"/>
        <v>1050</v>
      </c>
      <c r="E334" s="162">
        <f t="shared" si="146"/>
        <v>1050</v>
      </c>
      <c r="F334" s="162">
        <f t="shared" si="146"/>
        <v>1050</v>
      </c>
      <c r="G334" s="162">
        <f t="shared" si="146"/>
        <v>1050</v>
      </c>
      <c r="H334" s="162">
        <f t="shared" si="146"/>
        <v>1050</v>
      </c>
      <c r="I334" s="162">
        <f t="shared" si="146"/>
        <v>1050</v>
      </c>
      <c r="J334" s="162">
        <f t="shared" si="146"/>
        <v>1050</v>
      </c>
      <c r="K334" s="162">
        <f t="shared" si="146"/>
        <v>1050</v>
      </c>
      <c r="L334" s="162">
        <f t="shared" si="146"/>
        <v>1050</v>
      </c>
      <c r="M334" s="162">
        <f t="shared" si="146"/>
        <v>1050</v>
      </c>
      <c r="N334" s="162">
        <f t="shared" si="146"/>
        <v>1050</v>
      </c>
      <c r="O334" s="162">
        <f t="shared" si="146"/>
        <v>1050</v>
      </c>
      <c r="P334" s="56"/>
      <c r="Q334" s="56"/>
    </row>
    <row r="335" spans="1:17" ht="12.75" x14ac:dyDescent="0.2">
      <c r="A335" s="183"/>
      <c r="B335" s="238"/>
      <c r="C335" s="238"/>
      <c r="D335" s="238"/>
      <c r="E335" s="238"/>
      <c r="F335" s="238"/>
      <c r="G335" s="238"/>
      <c r="H335" s="238"/>
      <c r="I335" s="238"/>
      <c r="J335" s="238"/>
      <c r="K335" s="238"/>
      <c r="L335" s="238"/>
      <c r="M335" s="238"/>
      <c r="N335" s="238"/>
      <c r="O335" s="238"/>
      <c r="P335" s="56"/>
      <c r="Q335" s="56"/>
    </row>
    <row r="336" spans="1:17" ht="15.75" x14ac:dyDescent="0.25">
      <c r="A336" s="184" t="str">
        <f>'Opening Positions'!E16</f>
        <v>Deposits &amp; Advances</v>
      </c>
      <c r="B336" s="250"/>
      <c r="C336" s="250"/>
      <c r="D336" s="250"/>
      <c r="E336" s="250"/>
      <c r="F336" s="250"/>
      <c r="G336" s="250"/>
      <c r="H336" s="250"/>
      <c r="I336" s="250"/>
      <c r="J336" s="250"/>
      <c r="K336" s="250"/>
      <c r="L336" s="250"/>
      <c r="M336" s="250"/>
      <c r="N336" s="250"/>
      <c r="O336" s="250"/>
      <c r="P336" s="56"/>
      <c r="Q336" s="56"/>
    </row>
    <row r="337" spans="1:17" x14ac:dyDescent="0.15">
      <c r="A337" s="174" t="s">
        <v>229</v>
      </c>
      <c r="B337" s="250">
        <f>'Opening Positions'!G16</f>
        <v>0</v>
      </c>
      <c r="C337" s="250">
        <f t="shared" ref="C337:O337" si="147">B339</f>
        <v>0</v>
      </c>
      <c r="D337" s="250">
        <f t="shared" si="147"/>
        <v>0</v>
      </c>
      <c r="E337" s="250">
        <f t="shared" si="147"/>
        <v>0</v>
      </c>
      <c r="F337" s="250">
        <f t="shared" si="147"/>
        <v>0</v>
      </c>
      <c r="G337" s="250">
        <f t="shared" si="147"/>
        <v>0</v>
      </c>
      <c r="H337" s="250">
        <f t="shared" si="147"/>
        <v>0</v>
      </c>
      <c r="I337" s="250">
        <f t="shared" si="147"/>
        <v>0</v>
      </c>
      <c r="J337" s="250">
        <f t="shared" si="147"/>
        <v>0</v>
      </c>
      <c r="K337" s="250">
        <f t="shared" si="147"/>
        <v>0</v>
      </c>
      <c r="L337" s="250">
        <f t="shared" si="147"/>
        <v>0</v>
      </c>
      <c r="M337" s="250">
        <f t="shared" si="147"/>
        <v>0</v>
      </c>
      <c r="N337" s="250">
        <f t="shared" si="147"/>
        <v>0</v>
      </c>
      <c r="O337" s="250">
        <f t="shared" si="147"/>
        <v>0</v>
      </c>
      <c r="P337" s="56"/>
      <c r="Q337" s="56"/>
    </row>
    <row r="338" spans="1:17" x14ac:dyDescent="0.15">
      <c r="A338" s="172" t="s">
        <v>224</v>
      </c>
      <c r="B338" s="251">
        <f>('Connections &amp; Opex'!B14)*Assumptions!B26</f>
        <v>0</v>
      </c>
      <c r="C338" s="251">
        <f>('Connections &amp; Opex'!C14)*Assumptions!C26</f>
        <v>0</v>
      </c>
      <c r="D338" s="251">
        <f>('Connections &amp; Opex'!D14)*Assumptions!D26</f>
        <v>0</v>
      </c>
      <c r="E338" s="251">
        <f>('Connections &amp; Opex'!E14)*Assumptions!E26</f>
        <v>0</v>
      </c>
      <c r="F338" s="251">
        <f>('Connections &amp; Opex'!F14)*Assumptions!$F$26</f>
        <v>0</v>
      </c>
      <c r="G338" s="251">
        <f>('Connections &amp; Opex'!G14)*Assumptions!$F$26</f>
        <v>0</v>
      </c>
      <c r="H338" s="251">
        <f>('Connections &amp; Opex'!H14)*Assumptions!$F$26</f>
        <v>0</v>
      </c>
      <c r="I338" s="251">
        <f>('Connections &amp; Opex'!I14)*Assumptions!$F$26</f>
        <v>0</v>
      </c>
      <c r="J338" s="251">
        <f>('Connections &amp; Opex'!J14)*Assumptions!$F$26</f>
        <v>0</v>
      </c>
      <c r="K338" s="251">
        <f>('Connections &amp; Opex'!K14)*Assumptions!$F$26</f>
        <v>0</v>
      </c>
      <c r="L338" s="251">
        <f>('Connections &amp; Opex'!L14)*Assumptions!$F$26</f>
        <v>0</v>
      </c>
      <c r="M338" s="251">
        <f>('Connections &amp; Opex'!M14)*Assumptions!$F$26</f>
        <v>0</v>
      </c>
      <c r="N338" s="251">
        <f>('Connections &amp; Opex'!N14)*Assumptions!$F$26</f>
        <v>0</v>
      </c>
      <c r="O338" s="251">
        <f>('Connections &amp; Opex'!O14)*Assumptions!$F$26</f>
        <v>0</v>
      </c>
      <c r="P338" s="56"/>
      <c r="Q338" s="56"/>
    </row>
    <row r="339" spans="1:17" x14ac:dyDescent="0.15">
      <c r="A339" s="174" t="s">
        <v>225</v>
      </c>
      <c r="B339" s="250">
        <f t="shared" ref="B339:O339" si="148">B337+B338</f>
        <v>0</v>
      </c>
      <c r="C339" s="250">
        <f t="shared" si="148"/>
        <v>0</v>
      </c>
      <c r="D339" s="250">
        <f t="shared" si="148"/>
        <v>0</v>
      </c>
      <c r="E339" s="250">
        <f t="shared" si="148"/>
        <v>0</v>
      </c>
      <c r="F339" s="250">
        <f t="shared" si="148"/>
        <v>0</v>
      </c>
      <c r="G339" s="250">
        <f t="shared" si="148"/>
        <v>0</v>
      </c>
      <c r="H339" s="250">
        <f t="shared" si="148"/>
        <v>0</v>
      </c>
      <c r="I339" s="250">
        <f t="shared" si="148"/>
        <v>0</v>
      </c>
      <c r="J339" s="250">
        <f t="shared" si="148"/>
        <v>0</v>
      </c>
      <c r="K339" s="250">
        <f t="shared" si="148"/>
        <v>0</v>
      </c>
      <c r="L339" s="250">
        <f t="shared" si="148"/>
        <v>0</v>
      </c>
      <c r="M339" s="250">
        <f t="shared" si="148"/>
        <v>0</v>
      </c>
      <c r="N339" s="250">
        <f t="shared" si="148"/>
        <v>0</v>
      </c>
      <c r="O339" s="250">
        <f t="shared" si="148"/>
        <v>0</v>
      </c>
      <c r="P339" s="56"/>
      <c r="Q339" s="56"/>
    </row>
    <row r="340" spans="1:17" x14ac:dyDescent="0.15">
      <c r="A340" s="174"/>
      <c r="B340" s="250"/>
      <c r="C340" s="250"/>
      <c r="D340" s="250"/>
      <c r="E340" s="250"/>
      <c r="F340" s="250"/>
      <c r="G340" s="250"/>
      <c r="H340" s="250"/>
      <c r="I340" s="250"/>
      <c r="J340" s="250"/>
      <c r="K340" s="250"/>
      <c r="L340" s="250"/>
      <c r="M340" s="250"/>
      <c r="N340" s="250"/>
      <c r="O340" s="250"/>
      <c r="P340" s="56"/>
      <c r="Q340" s="56"/>
    </row>
    <row r="341" spans="1:17" x14ac:dyDescent="0.15">
      <c r="A341" s="451"/>
      <c r="B341" s="451"/>
      <c r="C341" s="451"/>
      <c r="D341" s="451"/>
      <c r="E341" s="451"/>
      <c r="F341" s="451"/>
      <c r="G341" s="451"/>
      <c r="H341" s="451"/>
      <c r="I341" s="451"/>
      <c r="J341" s="451"/>
      <c r="K341" s="451"/>
      <c r="L341" s="451"/>
      <c r="M341" s="451"/>
      <c r="N341" s="451"/>
      <c r="O341" s="451"/>
      <c r="P341" s="56"/>
      <c r="Q341" s="56"/>
    </row>
    <row r="342" spans="1:17" x14ac:dyDescent="0.15">
      <c r="A342" s="451"/>
      <c r="B342" s="451"/>
      <c r="C342" s="451"/>
      <c r="D342" s="451"/>
      <c r="E342" s="451"/>
      <c r="F342" s="451"/>
      <c r="G342" s="451"/>
      <c r="H342" s="451"/>
      <c r="I342" s="451"/>
      <c r="J342" s="451"/>
      <c r="K342" s="451"/>
      <c r="L342" s="451"/>
      <c r="M342" s="451"/>
      <c r="N342" s="451"/>
      <c r="O342" s="451"/>
      <c r="P342" s="56"/>
      <c r="Q342" s="56"/>
    </row>
    <row r="343" spans="1:17" x14ac:dyDescent="0.15">
      <c r="A343" s="451"/>
      <c r="B343" s="451"/>
      <c r="C343" s="451"/>
      <c r="D343" s="451"/>
      <c r="E343" s="451"/>
      <c r="F343" s="451"/>
      <c r="G343" s="451"/>
      <c r="H343" s="451"/>
      <c r="I343" s="451"/>
      <c r="J343" s="451"/>
      <c r="K343" s="451"/>
      <c r="L343" s="451"/>
      <c r="M343" s="451"/>
      <c r="N343" s="451"/>
      <c r="O343" s="451"/>
      <c r="P343" s="56"/>
      <c r="Q343" s="56"/>
    </row>
    <row r="344" spans="1:17" x14ac:dyDescent="0.15">
      <c r="A344" s="451"/>
      <c r="B344" s="451"/>
      <c r="C344" s="451"/>
      <c r="D344" s="451"/>
      <c r="E344" s="451"/>
      <c r="F344" s="451"/>
      <c r="G344" s="451"/>
      <c r="H344" s="451"/>
      <c r="I344" s="451"/>
      <c r="J344" s="451"/>
      <c r="K344" s="451"/>
      <c r="L344" s="451"/>
      <c r="M344" s="451"/>
      <c r="N344" s="451"/>
      <c r="O344" s="451"/>
      <c r="P344" s="56"/>
      <c r="Q344" s="56"/>
    </row>
    <row r="345" spans="1:17" ht="12.75" x14ac:dyDescent="0.2">
      <c r="A345" s="149"/>
      <c r="B345" s="145"/>
      <c r="C345" s="145"/>
      <c r="D345" s="145"/>
      <c r="E345" s="145"/>
      <c r="F345" s="145"/>
      <c r="G345" s="145"/>
      <c r="H345" s="145"/>
      <c r="I345" s="145"/>
      <c r="J345" s="145"/>
      <c r="K345" s="145"/>
      <c r="L345" s="145"/>
      <c r="M345" s="145"/>
      <c r="N345" s="145"/>
      <c r="O345" s="145"/>
      <c r="P345" s="56"/>
      <c r="Q345" s="56"/>
    </row>
    <row r="346" spans="1:17" ht="12.75" x14ac:dyDescent="0.2">
      <c r="A346" s="149"/>
      <c r="B346" s="474"/>
      <c r="C346" s="474"/>
      <c r="D346" s="474"/>
      <c r="E346" s="474"/>
      <c r="F346" s="474"/>
      <c r="G346" s="474"/>
      <c r="H346" s="474"/>
      <c r="I346" s="474"/>
      <c r="J346" s="474"/>
      <c r="K346" s="474"/>
      <c r="L346" s="474"/>
      <c r="M346" s="474"/>
      <c r="N346" s="474"/>
      <c r="O346" s="474"/>
    </row>
    <row r="347" spans="1:17" ht="12.75" x14ac:dyDescent="0.2">
      <c r="A347" s="474"/>
      <c r="B347" s="474"/>
      <c r="C347" s="474"/>
      <c r="D347" s="474"/>
      <c r="E347" s="474"/>
      <c r="F347" s="474"/>
      <c r="G347" s="474"/>
      <c r="H347" s="474"/>
      <c r="I347" s="474"/>
      <c r="J347" s="474"/>
      <c r="K347" s="474"/>
      <c r="L347" s="474"/>
      <c r="M347" s="474"/>
      <c r="N347" s="474"/>
      <c r="O347" s="474"/>
    </row>
    <row r="348" spans="1:17" ht="12.75" x14ac:dyDescent="0.2">
      <c r="A348" s="474"/>
      <c r="B348" s="474"/>
      <c r="C348" s="474"/>
      <c r="D348" s="474"/>
      <c r="E348" s="474"/>
      <c r="F348" s="474"/>
      <c r="G348" s="474"/>
      <c r="H348" s="474"/>
      <c r="I348" s="474"/>
      <c r="J348" s="474"/>
      <c r="K348" s="474"/>
      <c r="L348" s="474"/>
      <c r="M348" s="474"/>
      <c r="N348" s="474"/>
      <c r="O348" s="474"/>
    </row>
    <row r="349" spans="1:17" ht="12.75" x14ac:dyDescent="0.2">
      <c r="A349" s="474"/>
      <c r="B349" s="474"/>
      <c r="C349" s="474"/>
      <c r="D349" s="474"/>
      <c r="E349" s="474"/>
      <c r="F349" s="474"/>
      <c r="G349" s="474"/>
      <c r="H349" s="474"/>
      <c r="I349" s="474"/>
      <c r="J349" s="474"/>
      <c r="K349" s="474"/>
      <c r="L349" s="474"/>
      <c r="M349" s="474"/>
      <c r="N349" s="474"/>
      <c r="O349" s="474"/>
    </row>
    <row r="350" spans="1:17" ht="12.75" x14ac:dyDescent="0.2">
      <c r="A350" s="474"/>
      <c r="B350" s="474"/>
      <c r="C350" s="474"/>
      <c r="D350" s="474"/>
      <c r="E350" s="474"/>
      <c r="F350" s="474"/>
      <c r="G350" s="474"/>
      <c r="H350" s="474"/>
      <c r="I350" s="474"/>
      <c r="J350" s="474"/>
      <c r="K350" s="474"/>
      <c r="L350" s="474"/>
      <c r="M350" s="474"/>
      <c r="N350" s="474"/>
      <c r="O350" s="474"/>
    </row>
    <row r="351" spans="1:17" ht="12.75" x14ac:dyDescent="0.2">
      <c r="A351" s="474"/>
      <c r="B351" s="474"/>
      <c r="C351" s="474"/>
      <c r="D351" s="474"/>
      <c r="E351" s="474"/>
      <c r="F351" s="474"/>
      <c r="G351" s="474"/>
      <c r="H351" s="474"/>
      <c r="I351" s="474"/>
      <c r="J351" s="474"/>
      <c r="K351" s="474"/>
      <c r="L351" s="474"/>
      <c r="M351" s="474"/>
      <c r="N351" s="474"/>
      <c r="O351" s="474"/>
    </row>
    <row r="352" spans="1:17" ht="12.75" x14ac:dyDescent="0.2">
      <c r="A352" s="474"/>
      <c r="B352" s="474"/>
      <c r="C352" s="474"/>
      <c r="D352" s="474"/>
      <c r="E352" s="474"/>
      <c r="F352" s="474"/>
      <c r="G352" s="474"/>
      <c r="H352" s="474"/>
      <c r="I352" s="474"/>
      <c r="J352" s="474"/>
      <c r="K352" s="474"/>
      <c r="L352" s="474"/>
      <c r="M352" s="474"/>
      <c r="N352" s="474"/>
      <c r="O352" s="474"/>
    </row>
    <row r="353" spans="1:15" ht="12.75" x14ac:dyDescent="0.2">
      <c r="A353" s="474"/>
      <c r="B353" s="474"/>
      <c r="C353" s="474"/>
      <c r="D353" s="474"/>
      <c r="E353" s="474"/>
      <c r="F353" s="474"/>
      <c r="G353" s="474"/>
      <c r="H353" s="474"/>
      <c r="I353" s="474"/>
      <c r="J353" s="474"/>
      <c r="K353" s="474"/>
      <c r="L353" s="474"/>
      <c r="M353" s="474"/>
      <c r="N353" s="474"/>
      <c r="O353" s="474"/>
    </row>
    <row r="354" spans="1:15" ht="12.75" x14ac:dyDescent="0.2">
      <c r="A354" s="474"/>
      <c r="B354" s="474"/>
      <c r="C354" s="474"/>
      <c r="D354" s="474"/>
      <c r="E354" s="474"/>
      <c r="F354" s="474"/>
      <c r="G354" s="474"/>
      <c r="H354" s="474"/>
      <c r="I354" s="474"/>
      <c r="J354" s="474"/>
      <c r="K354" s="474"/>
      <c r="L354" s="474"/>
      <c r="M354" s="474"/>
      <c r="N354" s="474"/>
      <c r="O354" s="474"/>
    </row>
    <row r="355" spans="1:15" ht="12.75" x14ac:dyDescent="0.2">
      <c r="A355" s="474"/>
      <c r="B355" s="474"/>
      <c r="C355" s="474"/>
      <c r="D355" s="474"/>
      <c r="E355" s="474"/>
      <c r="F355" s="474"/>
      <c r="G355" s="474"/>
      <c r="H355" s="474"/>
      <c r="I355" s="474"/>
      <c r="J355" s="474"/>
      <c r="K355" s="474"/>
      <c r="L355" s="474"/>
      <c r="M355" s="474"/>
      <c r="N355" s="474"/>
      <c r="O355" s="474"/>
    </row>
    <row r="356" spans="1:15" ht="12.75" x14ac:dyDescent="0.2">
      <c r="A356" s="474"/>
      <c r="B356" s="474"/>
      <c r="C356" s="474"/>
      <c r="D356" s="474"/>
      <c r="E356" s="474"/>
      <c r="F356" s="474"/>
      <c r="G356" s="474"/>
      <c r="H356" s="474"/>
      <c r="I356" s="474"/>
      <c r="J356" s="474"/>
      <c r="K356" s="474"/>
      <c r="L356" s="474"/>
      <c r="M356" s="474"/>
      <c r="N356" s="474"/>
      <c r="O356" s="474"/>
    </row>
    <row r="357" spans="1:15" ht="12.75" x14ac:dyDescent="0.2">
      <c r="A357" s="474"/>
      <c r="B357" s="474"/>
      <c r="C357" s="474"/>
      <c r="D357" s="474"/>
      <c r="E357" s="474"/>
      <c r="F357" s="474"/>
      <c r="G357" s="474"/>
      <c r="H357" s="474"/>
      <c r="I357" s="474"/>
      <c r="J357" s="474"/>
      <c r="K357" s="474"/>
      <c r="L357" s="474"/>
      <c r="M357" s="474"/>
      <c r="N357" s="474"/>
      <c r="O357" s="474"/>
    </row>
    <row r="358" spans="1:15" ht="12.75" x14ac:dyDescent="0.2">
      <c r="A358" s="474"/>
      <c r="B358" s="474"/>
      <c r="C358" s="474"/>
      <c r="D358" s="474"/>
      <c r="E358" s="474"/>
      <c r="F358" s="474"/>
      <c r="G358" s="474"/>
      <c r="H358" s="474"/>
      <c r="I358" s="474"/>
      <c r="J358" s="474"/>
      <c r="K358" s="474"/>
      <c r="L358" s="474"/>
      <c r="M358" s="474"/>
      <c r="N358" s="474"/>
      <c r="O358" s="474"/>
    </row>
    <row r="359" spans="1:15" ht="12.75" x14ac:dyDescent="0.2">
      <c r="A359" s="474"/>
      <c r="B359" s="474"/>
      <c r="C359" s="474"/>
      <c r="D359" s="474"/>
      <c r="E359" s="474"/>
      <c r="F359" s="474"/>
      <c r="G359" s="474"/>
      <c r="H359" s="474"/>
      <c r="I359" s="474"/>
      <c r="J359" s="474"/>
      <c r="K359" s="474"/>
      <c r="L359" s="474"/>
      <c r="M359" s="474"/>
      <c r="N359" s="474"/>
      <c r="O359" s="474"/>
    </row>
    <row r="360" spans="1:15" ht="12.75" x14ac:dyDescent="0.2">
      <c r="A360" s="474"/>
      <c r="B360" s="474"/>
      <c r="C360" s="474"/>
      <c r="D360" s="474"/>
      <c r="E360" s="474"/>
      <c r="F360" s="474"/>
      <c r="G360" s="474"/>
      <c r="H360" s="474"/>
      <c r="I360" s="474"/>
      <c r="J360" s="474"/>
      <c r="K360" s="474"/>
      <c r="L360" s="474"/>
      <c r="M360" s="474"/>
      <c r="N360" s="474"/>
      <c r="O360" s="474"/>
    </row>
    <row r="361" spans="1:15" ht="12.75" x14ac:dyDescent="0.2">
      <c r="A361" s="474"/>
      <c r="B361" s="474"/>
      <c r="C361" s="474"/>
      <c r="D361" s="474"/>
      <c r="E361" s="474"/>
      <c r="F361" s="474"/>
      <c r="G361" s="474"/>
      <c r="H361" s="474"/>
      <c r="I361" s="474"/>
      <c r="J361" s="474"/>
      <c r="K361" s="474"/>
      <c r="L361" s="474"/>
      <c r="M361" s="474"/>
      <c r="N361" s="474"/>
      <c r="O361" s="474"/>
    </row>
    <row r="362" spans="1:15" ht="12.75" x14ac:dyDescent="0.2">
      <c r="A362" s="474"/>
      <c r="B362" s="474"/>
      <c r="C362" s="474"/>
      <c r="D362" s="474"/>
      <c r="E362" s="474"/>
      <c r="F362" s="474"/>
      <c r="G362" s="474"/>
      <c r="H362" s="474"/>
      <c r="I362" s="474"/>
      <c r="J362" s="474"/>
      <c r="K362" s="474"/>
      <c r="L362" s="474"/>
      <c r="M362" s="474"/>
      <c r="N362" s="474"/>
      <c r="O362" s="474"/>
    </row>
    <row r="363" spans="1:15" ht="12.75" x14ac:dyDescent="0.2">
      <c r="A363" s="474"/>
      <c r="B363" s="474"/>
      <c r="C363" s="474"/>
      <c r="D363" s="474"/>
      <c r="E363" s="474"/>
      <c r="F363" s="474"/>
      <c r="G363" s="474"/>
      <c r="H363" s="474"/>
      <c r="I363" s="474"/>
      <c r="J363" s="474"/>
      <c r="K363" s="474"/>
      <c r="L363" s="474"/>
      <c r="M363" s="474"/>
      <c r="N363" s="474"/>
      <c r="O363" s="474"/>
    </row>
    <row r="364" spans="1:15" ht="12.75" x14ac:dyDescent="0.2">
      <c r="A364" s="474"/>
      <c r="B364" s="474"/>
      <c r="C364" s="474"/>
      <c r="D364" s="474"/>
      <c r="E364" s="474"/>
      <c r="F364" s="474"/>
      <c r="G364" s="474"/>
      <c r="H364" s="474"/>
      <c r="I364" s="474"/>
      <c r="J364" s="474"/>
      <c r="K364" s="474"/>
      <c r="L364" s="474"/>
      <c r="M364" s="474"/>
      <c r="N364" s="474"/>
      <c r="O364" s="474"/>
    </row>
    <row r="365" spans="1:15" ht="12.75" x14ac:dyDescent="0.2">
      <c r="A365" s="474"/>
      <c r="B365" s="474"/>
      <c r="C365" s="474"/>
      <c r="D365" s="474"/>
      <c r="E365" s="474"/>
      <c r="F365" s="474"/>
      <c r="G365" s="474"/>
      <c r="H365" s="474"/>
      <c r="I365" s="474"/>
      <c r="J365" s="474"/>
      <c r="K365" s="474"/>
      <c r="L365" s="474"/>
      <c r="M365" s="474"/>
      <c r="N365" s="474"/>
      <c r="O365" s="474"/>
    </row>
    <row r="366" spans="1:15" ht="12.75" x14ac:dyDescent="0.2">
      <c r="A366" s="474"/>
      <c r="B366" s="474"/>
      <c r="C366" s="474"/>
      <c r="D366" s="474"/>
      <c r="E366" s="474"/>
      <c r="F366" s="474"/>
      <c r="G366" s="474"/>
      <c r="H366" s="474"/>
      <c r="I366" s="474"/>
      <c r="J366" s="474"/>
      <c r="K366" s="474"/>
      <c r="L366" s="474"/>
      <c r="M366" s="474"/>
      <c r="N366" s="474"/>
      <c r="O366" s="474"/>
    </row>
    <row r="367" spans="1:15" ht="12.75" x14ac:dyDescent="0.2">
      <c r="A367" s="474"/>
      <c r="B367" s="474"/>
      <c r="C367" s="474"/>
      <c r="D367" s="474"/>
      <c r="E367" s="474"/>
      <c r="F367" s="474"/>
      <c r="G367" s="474"/>
      <c r="H367" s="474"/>
      <c r="I367" s="474"/>
      <c r="J367" s="474"/>
      <c r="K367" s="474"/>
      <c r="L367" s="474"/>
      <c r="M367" s="474"/>
      <c r="N367" s="474"/>
      <c r="O367" s="474"/>
    </row>
    <row r="368" spans="1:15" ht="12.75" x14ac:dyDescent="0.2">
      <c r="A368" s="474"/>
      <c r="B368" s="474"/>
      <c r="C368" s="474"/>
      <c r="D368" s="474"/>
      <c r="E368" s="474"/>
      <c r="F368" s="474"/>
      <c r="G368" s="474"/>
      <c r="H368" s="474"/>
      <c r="I368" s="474"/>
      <c r="J368" s="474"/>
      <c r="K368" s="474"/>
      <c r="L368" s="474"/>
      <c r="M368" s="474"/>
      <c r="N368" s="474"/>
      <c r="O368" s="474"/>
    </row>
    <row r="369" spans="1:15" ht="12.75" x14ac:dyDescent="0.2">
      <c r="A369" s="474"/>
      <c r="B369" s="474"/>
      <c r="C369" s="474"/>
      <c r="D369" s="474"/>
      <c r="E369" s="474"/>
      <c r="F369" s="474"/>
      <c r="G369" s="474"/>
      <c r="H369" s="474"/>
      <c r="I369" s="474"/>
      <c r="J369" s="474"/>
      <c r="K369" s="474"/>
      <c r="L369" s="474"/>
      <c r="M369" s="474"/>
      <c r="N369" s="474"/>
      <c r="O369" s="474"/>
    </row>
    <row r="370" spans="1:15" ht="12.75" x14ac:dyDescent="0.2">
      <c r="A370" s="474"/>
      <c r="B370" s="474"/>
      <c r="C370" s="474"/>
      <c r="D370" s="474"/>
      <c r="E370" s="474"/>
      <c r="F370" s="474"/>
      <c r="G370" s="474"/>
      <c r="H370" s="474"/>
      <c r="I370" s="474"/>
      <c r="J370" s="474"/>
      <c r="K370" s="474"/>
      <c r="L370" s="474"/>
      <c r="M370" s="474"/>
      <c r="N370" s="474"/>
      <c r="O370" s="474"/>
    </row>
    <row r="371" spans="1:15" ht="12.75" x14ac:dyDescent="0.2">
      <c r="A371" s="474"/>
      <c r="B371" s="474"/>
      <c r="C371" s="474"/>
      <c r="D371" s="474"/>
      <c r="E371" s="474"/>
      <c r="F371" s="474"/>
      <c r="G371" s="474"/>
      <c r="H371" s="474"/>
      <c r="I371" s="474"/>
      <c r="J371" s="474"/>
      <c r="K371" s="474"/>
      <c r="L371" s="474"/>
      <c r="M371" s="474"/>
      <c r="N371" s="474"/>
      <c r="O371" s="474"/>
    </row>
    <row r="372" spans="1:15" ht="12.75" x14ac:dyDescent="0.2">
      <c r="A372" s="474"/>
      <c r="B372" s="474"/>
      <c r="C372" s="474"/>
      <c r="D372" s="474"/>
      <c r="E372" s="474"/>
      <c r="F372" s="474"/>
      <c r="G372" s="474"/>
      <c r="H372" s="474"/>
      <c r="I372" s="474"/>
      <c r="J372" s="474"/>
      <c r="K372" s="474"/>
      <c r="L372" s="474"/>
      <c r="M372" s="474"/>
      <c r="N372" s="474"/>
      <c r="O372" s="474"/>
    </row>
    <row r="373" spans="1:15" ht="12.75" x14ac:dyDescent="0.2">
      <c r="A373" s="474"/>
      <c r="B373" s="474"/>
      <c r="C373" s="474"/>
      <c r="D373" s="474"/>
      <c r="E373" s="474"/>
      <c r="F373" s="474"/>
      <c r="G373" s="474"/>
      <c r="H373" s="474"/>
      <c r="I373" s="474"/>
      <c r="J373" s="474"/>
      <c r="K373" s="474"/>
      <c r="L373" s="474"/>
      <c r="M373" s="474"/>
      <c r="N373" s="474"/>
      <c r="O373" s="474"/>
    </row>
    <row r="374" spans="1:15" ht="12.75" x14ac:dyDescent="0.2">
      <c r="A374" s="474"/>
      <c r="B374" s="474"/>
      <c r="C374" s="474"/>
      <c r="D374" s="474"/>
      <c r="E374" s="474"/>
      <c r="F374" s="474"/>
      <c r="G374" s="474"/>
      <c r="H374" s="474"/>
      <c r="I374" s="474"/>
      <c r="J374" s="474"/>
      <c r="K374" s="474"/>
      <c r="L374" s="474"/>
      <c r="M374" s="474"/>
      <c r="N374" s="474"/>
      <c r="O374" s="474"/>
    </row>
    <row r="375" spans="1:15" ht="12.75" x14ac:dyDescent="0.2">
      <c r="A375" s="474"/>
      <c r="B375" s="474"/>
      <c r="C375" s="474"/>
      <c r="D375" s="474"/>
      <c r="E375" s="474"/>
      <c r="F375" s="474"/>
      <c r="G375" s="474"/>
      <c r="H375" s="474"/>
      <c r="I375" s="474"/>
      <c r="J375" s="474"/>
      <c r="K375" s="474"/>
      <c r="L375" s="474"/>
      <c r="M375" s="474"/>
      <c r="N375" s="474"/>
      <c r="O375" s="474"/>
    </row>
    <row r="376" spans="1:15" ht="12.75" x14ac:dyDescent="0.2">
      <c r="A376" s="474"/>
      <c r="B376" s="474"/>
      <c r="C376" s="474"/>
      <c r="D376" s="474"/>
      <c r="E376" s="474"/>
      <c r="F376" s="474"/>
      <c r="G376" s="474"/>
      <c r="H376" s="474"/>
      <c r="I376" s="474"/>
      <c r="J376" s="474"/>
      <c r="K376" s="474"/>
      <c r="L376" s="474"/>
      <c r="M376" s="474"/>
      <c r="N376" s="474"/>
      <c r="O376" s="474"/>
    </row>
    <row r="377" spans="1:15" ht="12.75" x14ac:dyDescent="0.2">
      <c r="A377" s="474"/>
      <c r="B377" s="474"/>
      <c r="C377" s="474"/>
      <c r="D377" s="474"/>
      <c r="E377" s="474"/>
      <c r="F377" s="474"/>
      <c r="G377" s="474"/>
      <c r="H377" s="474"/>
      <c r="I377" s="474"/>
      <c r="J377" s="474"/>
      <c r="K377" s="474"/>
      <c r="L377" s="474"/>
      <c r="M377" s="474"/>
      <c r="N377" s="474"/>
      <c r="O377" s="474"/>
    </row>
    <row r="378" spans="1:15" ht="12.75" x14ac:dyDescent="0.2">
      <c r="A378" s="474"/>
      <c r="B378" s="474"/>
      <c r="C378" s="474"/>
      <c r="D378" s="474"/>
      <c r="E378" s="474"/>
      <c r="F378" s="474"/>
      <c r="G378" s="474"/>
      <c r="H378" s="474"/>
      <c r="I378" s="474"/>
      <c r="J378" s="474"/>
      <c r="K378" s="474"/>
      <c r="L378" s="474"/>
      <c r="M378" s="474"/>
      <c r="N378" s="474"/>
      <c r="O378" s="474"/>
    </row>
    <row r="379" spans="1:15" ht="12.75" x14ac:dyDescent="0.2">
      <c r="A379" s="474"/>
      <c r="B379" s="474"/>
      <c r="C379" s="474"/>
      <c r="D379" s="474"/>
      <c r="E379" s="474"/>
      <c r="F379" s="474"/>
      <c r="G379" s="474"/>
      <c r="H379" s="474"/>
      <c r="I379" s="474"/>
      <c r="J379" s="474"/>
      <c r="K379" s="474"/>
      <c r="L379" s="474"/>
      <c r="M379" s="474"/>
      <c r="N379" s="474"/>
      <c r="O379" s="474"/>
    </row>
    <row r="380" spans="1:15" ht="12.75" x14ac:dyDescent="0.2">
      <c r="A380" s="474"/>
      <c r="B380" s="474"/>
      <c r="C380" s="474"/>
      <c r="D380" s="474"/>
      <c r="E380" s="474"/>
      <c r="F380" s="474"/>
      <c r="G380" s="474"/>
      <c r="H380" s="474"/>
      <c r="I380" s="474"/>
      <c r="J380" s="474"/>
      <c r="K380" s="474"/>
      <c r="L380" s="474"/>
      <c r="M380" s="474"/>
      <c r="N380" s="474"/>
      <c r="O380" s="474"/>
    </row>
    <row r="381" spans="1:15" ht="12.75" x14ac:dyDescent="0.2">
      <c r="A381" s="474"/>
      <c r="B381" s="474"/>
      <c r="C381" s="474"/>
      <c r="D381" s="474"/>
      <c r="E381" s="474"/>
      <c r="F381" s="474"/>
      <c r="G381" s="474"/>
      <c r="H381" s="474"/>
      <c r="I381" s="474"/>
      <c r="J381" s="474"/>
      <c r="K381" s="474"/>
      <c r="L381" s="474"/>
      <c r="M381" s="474"/>
      <c r="N381" s="474"/>
      <c r="O381" s="474"/>
    </row>
    <row r="382" spans="1:15" ht="12.75" x14ac:dyDescent="0.2">
      <c r="A382" s="474"/>
      <c r="B382" s="474"/>
      <c r="C382" s="474"/>
      <c r="D382" s="474"/>
      <c r="E382" s="474"/>
      <c r="F382" s="474"/>
      <c r="G382" s="474"/>
      <c r="H382" s="474"/>
      <c r="I382" s="474"/>
      <c r="J382" s="474"/>
      <c r="K382" s="474"/>
      <c r="L382" s="474"/>
      <c r="M382" s="474"/>
      <c r="N382" s="474"/>
      <c r="O382" s="474"/>
    </row>
    <row r="383" spans="1:15" ht="12.75" x14ac:dyDescent="0.2">
      <c r="A383" s="474"/>
      <c r="B383" s="474"/>
      <c r="C383" s="474"/>
      <c r="D383" s="474"/>
      <c r="E383" s="474"/>
      <c r="F383" s="474"/>
      <c r="G383" s="474"/>
      <c r="H383" s="474"/>
      <c r="I383" s="474"/>
      <c r="J383" s="474"/>
      <c r="K383" s="474"/>
      <c r="L383" s="474"/>
      <c r="M383" s="474"/>
      <c r="N383" s="474"/>
      <c r="O383" s="474"/>
    </row>
    <row r="384" spans="1:15" ht="12.75" x14ac:dyDescent="0.2">
      <c r="A384" s="474"/>
      <c r="B384" s="451"/>
      <c r="C384" s="451"/>
      <c r="D384" s="451"/>
      <c r="E384" s="451"/>
      <c r="F384" s="451"/>
      <c r="G384" s="451"/>
      <c r="H384" s="451"/>
      <c r="I384" s="451"/>
      <c r="J384" s="451"/>
      <c r="K384" s="451"/>
      <c r="L384" s="451"/>
      <c r="M384" s="451"/>
      <c r="N384" s="451"/>
      <c r="O384" s="451"/>
    </row>
    <row r="385" spans="1:15" x14ac:dyDescent="0.15">
      <c r="A385" s="451"/>
      <c r="B385" s="451"/>
      <c r="C385" s="451"/>
      <c r="D385" s="451"/>
      <c r="E385" s="451"/>
      <c r="F385" s="451"/>
      <c r="G385" s="451"/>
      <c r="H385" s="451"/>
      <c r="I385" s="451"/>
      <c r="J385" s="451"/>
      <c r="K385" s="451"/>
      <c r="L385" s="451"/>
      <c r="M385" s="451"/>
      <c r="N385" s="451"/>
      <c r="O385" s="451"/>
    </row>
    <row r="386" spans="1:15" x14ac:dyDescent="0.15">
      <c r="A386" s="451"/>
      <c r="B386" s="451"/>
      <c r="C386" s="451"/>
      <c r="D386" s="451"/>
      <c r="E386" s="451"/>
      <c r="F386" s="451"/>
      <c r="G386" s="451"/>
      <c r="H386" s="451"/>
      <c r="I386" s="451"/>
      <c r="J386" s="451"/>
      <c r="K386" s="451"/>
      <c r="L386" s="451"/>
      <c r="M386" s="451"/>
      <c r="N386" s="451"/>
      <c r="O386" s="451"/>
    </row>
    <row r="387" spans="1:15" x14ac:dyDescent="0.15">
      <c r="A387" s="451"/>
      <c r="B387" s="451"/>
      <c r="C387" s="451"/>
      <c r="D387" s="451"/>
      <c r="E387" s="451"/>
      <c r="F387" s="451"/>
      <c r="G387" s="451"/>
      <c r="H387" s="451"/>
      <c r="I387" s="451"/>
      <c r="J387" s="451"/>
      <c r="K387" s="451"/>
      <c r="L387" s="451"/>
      <c r="M387" s="451"/>
      <c r="N387" s="451"/>
      <c r="O387" s="451"/>
    </row>
    <row r="388" spans="1:15" x14ac:dyDescent="0.15">
      <c r="A388" s="451"/>
      <c r="B388" s="451"/>
      <c r="C388" s="451"/>
      <c r="D388" s="451"/>
      <c r="E388" s="451"/>
      <c r="F388" s="451"/>
      <c r="G388" s="451"/>
      <c r="H388" s="451"/>
      <c r="I388" s="451"/>
      <c r="J388" s="451"/>
      <c r="K388" s="451"/>
      <c r="L388" s="451"/>
      <c r="M388" s="451"/>
      <c r="N388" s="451"/>
      <c r="O388" s="451"/>
    </row>
    <row r="389" spans="1:15" x14ac:dyDescent="0.15">
      <c r="A389" s="451"/>
      <c r="B389" s="451"/>
      <c r="C389" s="451"/>
      <c r="D389" s="451"/>
      <c r="E389" s="451"/>
      <c r="F389" s="451"/>
      <c r="G389" s="451"/>
      <c r="H389" s="451"/>
      <c r="I389" s="451"/>
      <c r="J389" s="451"/>
      <c r="K389" s="451"/>
      <c r="L389" s="451"/>
      <c r="M389" s="451"/>
      <c r="N389" s="451"/>
      <c r="O389" s="451"/>
    </row>
    <row r="390" spans="1:15" x14ac:dyDescent="0.15">
      <c r="A390" s="451"/>
      <c r="B390" s="451"/>
      <c r="C390" s="451"/>
      <c r="D390" s="451"/>
      <c r="E390" s="451"/>
      <c r="F390" s="451"/>
      <c r="G390" s="451"/>
      <c r="H390" s="451"/>
      <c r="I390" s="451"/>
      <c r="J390" s="451"/>
      <c r="K390" s="451"/>
      <c r="L390" s="451"/>
      <c r="M390" s="451"/>
      <c r="N390" s="451"/>
      <c r="O390" s="451"/>
    </row>
    <row r="391" spans="1:15" x14ac:dyDescent="0.15">
      <c r="A391" s="451"/>
      <c r="B391" s="451"/>
      <c r="C391" s="451"/>
      <c r="D391" s="451"/>
      <c r="E391" s="451"/>
      <c r="F391" s="451"/>
      <c r="G391" s="451"/>
      <c r="H391" s="451"/>
      <c r="I391" s="451"/>
      <c r="J391" s="451"/>
      <c r="K391" s="451"/>
      <c r="L391" s="451"/>
      <c r="M391" s="451"/>
      <c r="N391" s="451"/>
      <c r="O391" s="451"/>
    </row>
    <row r="392" spans="1:15" x14ac:dyDescent="0.15">
      <c r="A392" s="451"/>
      <c r="B392" s="451"/>
      <c r="C392" s="451"/>
      <c r="D392" s="451"/>
      <c r="E392" s="451"/>
      <c r="F392" s="451"/>
      <c r="G392" s="451"/>
      <c r="H392" s="451"/>
      <c r="I392" s="451"/>
      <c r="J392" s="451"/>
      <c r="K392" s="451"/>
      <c r="L392" s="451"/>
      <c r="M392" s="451"/>
      <c r="N392" s="451"/>
      <c r="O392" s="451"/>
    </row>
    <row r="393" spans="1:15" x14ac:dyDescent="0.15">
      <c r="A393" s="451"/>
      <c r="B393" s="451"/>
      <c r="C393" s="451"/>
      <c r="D393" s="451"/>
      <c r="E393" s="451"/>
      <c r="F393" s="451"/>
      <c r="G393" s="451"/>
      <c r="H393" s="451"/>
      <c r="I393" s="451"/>
      <c r="J393" s="451"/>
      <c r="K393" s="451"/>
      <c r="L393" s="451"/>
      <c r="M393" s="451"/>
      <c r="N393" s="451"/>
      <c r="O393" s="451"/>
    </row>
    <row r="394" spans="1:15" x14ac:dyDescent="0.15">
      <c r="A394" s="451"/>
      <c r="B394" s="451"/>
      <c r="C394" s="451"/>
      <c r="D394" s="451"/>
      <c r="E394" s="451"/>
      <c r="F394" s="451"/>
      <c r="G394" s="451"/>
      <c r="H394" s="451"/>
      <c r="I394" s="451"/>
      <c r="J394" s="451"/>
      <c r="K394" s="451"/>
      <c r="L394" s="451"/>
      <c r="M394" s="451"/>
      <c r="N394" s="451"/>
      <c r="O394" s="451"/>
    </row>
    <row r="395" spans="1:15" x14ac:dyDescent="0.15">
      <c r="A395" s="451"/>
      <c r="B395" s="451"/>
      <c r="C395" s="451"/>
      <c r="D395" s="451"/>
      <c r="E395" s="451"/>
      <c r="F395" s="451"/>
      <c r="G395" s="451"/>
      <c r="H395" s="451"/>
      <c r="I395" s="451"/>
      <c r="J395" s="451"/>
      <c r="K395" s="451"/>
      <c r="L395" s="451"/>
      <c r="M395" s="451"/>
      <c r="N395" s="451"/>
      <c r="O395" s="451"/>
    </row>
    <row r="396" spans="1:15" x14ac:dyDescent="0.15">
      <c r="A396" s="451"/>
      <c r="B396" s="451"/>
      <c r="C396" s="451"/>
      <c r="D396" s="451"/>
      <c r="E396" s="451"/>
      <c r="F396" s="451"/>
      <c r="G396" s="451"/>
      <c r="H396" s="451"/>
      <c r="I396" s="451"/>
      <c r="J396" s="451"/>
      <c r="K396" s="451"/>
      <c r="L396" s="451"/>
      <c r="M396" s="451"/>
      <c r="N396" s="451"/>
      <c r="O396" s="451"/>
    </row>
    <row r="397" spans="1:15" x14ac:dyDescent="0.15">
      <c r="A397" s="451"/>
      <c r="B397" s="451"/>
      <c r="C397" s="451"/>
      <c r="D397" s="451"/>
      <c r="E397" s="451"/>
      <c r="F397" s="451"/>
      <c r="G397" s="451"/>
      <c r="H397" s="451"/>
      <c r="I397" s="451"/>
      <c r="J397" s="451"/>
      <c r="K397" s="451"/>
      <c r="L397" s="451"/>
      <c r="M397" s="451"/>
      <c r="N397" s="451"/>
      <c r="O397" s="451"/>
    </row>
    <row r="398" spans="1:15" x14ac:dyDescent="0.15">
      <c r="A398" s="451"/>
      <c r="B398" s="451"/>
      <c r="C398" s="451"/>
      <c r="D398" s="451"/>
      <c r="E398" s="451"/>
      <c r="F398" s="451"/>
      <c r="G398" s="451"/>
      <c r="H398" s="451"/>
      <c r="I398" s="451"/>
      <c r="J398" s="451"/>
      <c r="K398" s="451"/>
      <c r="L398" s="451"/>
      <c r="M398" s="451"/>
      <c r="N398" s="451"/>
      <c r="O398" s="451"/>
    </row>
    <row r="399" spans="1:15" x14ac:dyDescent="0.15">
      <c r="A399" s="451"/>
      <c r="B399" s="451"/>
      <c r="C399" s="451"/>
      <c r="D399" s="451"/>
      <c r="E399" s="451"/>
      <c r="F399" s="451"/>
      <c r="G399" s="451"/>
      <c r="H399" s="451"/>
      <c r="I399" s="451"/>
      <c r="J399" s="451"/>
      <c r="K399" s="451"/>
      <c r="L399" s="451"/>
      <c r="M399" s="451"/>
      <c r="N399" s="451"/>
      <c r="O399" s="451"/>
    </row>
    <row r="400" spans="1:15" x14ac:dyDescent="0.15">
      <c r="A400" s="451"/>
      <c r="B400" s="451"/>
      <c r="C400" s="451"/>
      <c r="D400" s="451"/>
      <c r="E400" s="451"/>
      <c r="F400" s="451"/>
      <c r="G400" s="451"/>
      <c r="H400" s="451"/>
      <c r="I400" s="451"/>
      <c r="J400" s="451"/>
      <c r="K400" s="451"/>
      <c r="L400" s="451"/>
      <c r="M400" s="451"/>
      <c r="N400" s="451"/>
      <c r="O400" s="451"/>
    </row>
    <row r="401" spans="1:15" x14ac:dyDescent="0.15">
      <c r="A401" s="451"/>
      <c r="B401" s="451"/>
      <c r="C401" s="451"/>
      <c r="D401" s="451"/>
      <c r="E401" s="451"/>
      <c r="F401" s="451"/>
      <c r="G401" s="451"/>
      <c r="H401" s="451"/>
      <c r="I401" s="451"/>
      <c r="J401" s="451"/>
      <c r="K401" s="451"/>
      <c r="L401" s="451"/>
      <c r="M401" s="451"/>
      <c r="N401" s="451"/>
      <c r="O401" s="451"/>
    </row>
    <row r="402" spans="1:15" x14ac:dyDescent="0.15">
      <c r="A402" s="451"/>
      <c r="B402" s="451"/>
      <c r="C402" s="451"/>
      <c r="D402" s="451"/>
      <c r="E402" s="451"/>
      <c r="F402" s="451"/>
      <c r="G402" s="451"/>
      <c r="H402" s="451"/>
      <c r="I402" s="451"/>
      <c r="J402" s="451"/>
      <c r="K402" s="451"/>
      <c r="L402" s="451"/>
      <c r="M402" s="451"/>
      <c r="N402" s="451"/>
      <c r="O402" s="451"/>
    </row>
    <row r="403" spans="1:15" x14ac:dyDescent="0.15">
      <c r="A403" s="451"/>
      <c r="B403" s="451"/>
      <c r="C403" s="451"/>
      <c r="D403" s="451"/>
      <c r="E403" s="451"/>
      <c r="F403" s="451"/>
      <c r="G403" s="451"/>
      <c r="H403" s="451"/>
      <c r="I403" s="451"/>
      <c r="J403" s="451"/>
      <c r="K403" s="451"/>
      <c r="L403" s="451"/>
      <c r="M403" s="451"/>
      <c r="N403" s="451"/>
      <c r="O403" s="451"/>
    </row>
    <row r="404" spans="1:15" x14ac:dyDescent="0.15">
      <c r="A404" s="451"/>
      <c r="B404" s="451"/>
      <c r="C404" s="451"/>
      <c r="D404" s="451"/>
      <c r="E404" s="451"/>
      <c r="F404" s="451"/>
      <c r="G404" s="451"/>
      <c r="H404" s="451"/>
      <c r="I404" s="451"/>
      <c r="J404" s="451"/>
      <c r="K404" s="451"/>
      <c r="L404" s="451"/>
      <c r="M404" s="451"/>
      <c r="N404" s="451"/>
      <c r="O404" s="451"/>
    </row>
    <row r="405" spans="1:15" x14ac:dyDescent="0.15">
      <c r="A405" s="451"/>
      <c r="B405" s="451"/>
      <c r="C405" s="451"/>
      <c r="D405" s="451"/>
      <c r="E405" s="451"/>
      <c r="F405" s="451"/>
      <c r="G405" s="451"/>
      <c r="H405" s="451"/>
      <c r="I405" s="451"/>
      <c r="J405" s="451"/>
      <c r="K405" s="451"/>
      <c r="L405" s="451"/>
      <c r="M405" s="451"/>
      <c r="N405" s="451"/>
      <c r="O405" s="451"/>
    </row>
    <row r="406" spans="1:15" x14ac:dyDescent="0.15">
      <c r="A406" s="451"/>
      <c r="B406" s="451"/>
      <c r="C406" s="451"/>
      <c r="D406" s="451"/>
      <c r="E406" s="451"/>
      <c r="F406" s="451"/>
      <c r="G406" s="451"/>
      <c r="H406" s="451"/>
      <c r="I406" s="451"/>
      <c r="J406" s="451"/>
      <c r="K406" s="451"/>
      <c r="L406" s="451"/>
      <c r="M406" s="451"/>
      <c r="N406" s="451"/>
      <c r="O406" s="451"/>
    </row>
    <row r="407" spans="1:15" x14ac:dyDescent="0.15">
      <c r="A407" s="451"/>
      <c r="B407" s="451"/>
      <c r="C407" s="451"/>
      <c r="D407" s="451"/>
      <c r="E407" s="451"/>
      <c r="F407" s="451"/>
      <c r="G407" s="451"/>
      <c r="H407" s="451"/>
      <c r="I407" s="451"/>
      <c r="J407" s="451"/>
      <c r="K407" s="451"/>
      <c r="L407" s="451"/>
      <c r="M407" s="451"/>
      <c r="N407" s="451"/>
      <c r="O407" s="451"/>
    </row>
    <row r="408" spans="1:15" x14ac:dyDescent="0.15">
      <c r="A408" s="451"/>
      <c r="B408" s="451"/>
      <c r="C408" s="451"/>
      <c r="D408" s="451"/>
      <c r="E408" s="451"/>
      <c r="F408" s="451"/>
      <c r="G408" s="451"/>
      <c r="H408" s="451"/>
      <c r="I408" s="451"/>
      <c r="J408" s="451"/>
      <c r="K408" s="451"/>
      <c r="L408" s="451"/>
      <c r="M408" s="451"/>
      <c r="N408" s="451"/>
      <c r="O408" s="451"/>
    </row>
    <row r="409" spans="1:15" x14ac:dyDescent="0.15">
      <c r="A409" s="451"/>
      <c r="B409" s="451"/>
      <c r="C409" s="451"/>
      <c r="D409" s="451"/>
      <c r="E409" s="451"/>
      <c r="F409" s="451"/>
      <c r="G409" s="451"/>
      <c r="H409" s="451"/>
      <c r="I409" s="451"/>
      <c r="J409" s="451"/>
      <c r="K409" s="451"/>
      <c r="L409" s="451"/>
      <c r="M409" s="451"/>
      <c r="N409" s="451"/>
      <c r="O409" s="451"/>
    </row>
    <row r="410" spans="1:15" x14ac:dyDescent="0.15">
      <c r="A410" s="451"/>
      <c r="B410" s="451"/>
      <c r="C410" s="451"/>
      <c r="D410" s="451"/>
      <c r="E410" s="451"/>
      <c r="F410" s="451"/>
      <c r="G410" s="451"/>
      <c r="H410" s="451"/>
      <c r="I410" s="451"/>
      <c r="J410" s="451"/>
      <c r="K410" s="451"/>
      <c r="L410" s="451"/>
      <c r="M410" s="451"/>
      <c r="N410" s="451"/>
      <c r="O410" s="451"/>
    </row>
    <row r="411" spans="1:15" x14ac:dyDescent="0.15">
      <c r="A411" s="451"/>
      <c r="B411" s="451"/>
      <c r="C411" s="451"/>
      <c r="D411" s="451"/>
      <c r="E411" s="451"/>
      <c r="F411" s="451"/>
      <c r="G411" s="451"/>
      <c r="H411" s="451"/>
      <c r="I411" s="451"/>
      <c r="J411" s="451"/>
      <c r="K411" s="451"/>
      <c r="L411" s="451"/>
      <c r="M411" s="451"/>
      <c r="N411" s="451"/>
      <c r="O411" s="451"/>
    </row>
    <row r="412" spans="1:15" x14ac:dyDescent="0.15">
      <c r="A412" s="451"/>
      <c r="B412" s="451"/>
      <c r="C412" s="451"/>
      <c r="D412" s="451"/>
      <c r="E412" s="451"/>
      <c r="F412" s="451"/>
      <c r="G412" s="451"/>
      <c r="H412" s="451"/>
      <c r="I412" s="451"/>
      <c r="J412" s="451"/>
      <c r="K412" s="451"/>
      <c r="L412" s="451"/>
      <c r="M412" s="451"/>
      <c r="N412" s="451"/>
      <c r="O412" s="451"/>
    </row>
    <row r="413" spans="1:15" x14ac:dyDescent="0.15">
      <c r="A413" s="451"/>
      <c r="B413" s="451"/>
      <c r="C413" s="451"/>
      <c r="D413" s="451"/>
      <c r="E413" s="451"/>
      <c r="F413" s="451"/>
      <c r="G413" s="451"/>
      <c r="H413" s="451"/>
      <c r="I413" s="451"/>
      <c r="J413" s="451"/>
      <c r="K413" s="451"/>
      <c r="L413" s="451"/>
      <c r="M413" s="451"/>
      <c r="N413" s="451"/>
      <c r="O413" s="451"/>
    </row>
    <row r="414" spans="1:15" x14ac:dyDescent="0.15">
      <c r="A414" s="451"/>
      <c r="B414" s="451"/>
      <c r="C414" s="451"/>
      <c r="D414" s="451"/>
      <c r="E414" s="451"/>
      <c r="F414" s="451"/>
      <c r="G414" s="451"/>
      <c r="H414" s="451"/>
      <c r="I414" s="451"/>
      <c r="J414" s="451"/>
      <c r="K414" s="451"/>
      <c r="L414" s="451"/>
      <c r="M414" s="451"/>
      <c r="N414" s="451"/>
      <c r="O414" s="451"/>
    </row>
    <row r="415" spans="1:15" x14ac:dyDescent="0.15">
      <c r="A415" s="451"/>
      <c r="B415" s="451"/>
      <c r="C415" s="451"/>
      <c r="D415" s="451"/>
      <c r="E415" s="451"/>
      <c r="F415" s="451"/>
      <c r="G415" s="451"/>
      <c r="H415" s="451"/>
      <c r="I415" s="451"/>
      <c r="J415" s="451"/>
      <c r="K415" s="451"/>
      <c r="L415" s="451"/>
      <c r="M415" s="451"/>
      <c r="N415" s="451"/>
      <c r="O415" s="451"/>
    </row>
    <row r="416" spans="1:15" x14ac:dyDescent="0.15">
      <c r="A416" s="451"/>
      <c r="B416" s="451"/>
      <c r="C416" s="451"/>
      <c r="D416" s="451"/>
      <c r="E416" s="451"/>
      <c r="F416" s="451"/>
      <c r="G416" s="451"/>
      <c r="H416" s="451"/>
      <c r="I416" s="451"/>
      <c r="J416" s="451"/>
      <c r="K416" s="451"/>
      <c r="L416" s="451"/>
      <c r="M416" s="451"/>
      <c r="N416" s="451"/>
      <c r="O416" s="451"/>
    </row>
    <row r="417" spans="1:15" x14ac:dyDescent="0.15">
      <c r="A417" s="451"/>
      <c r="B417" s="451"/>
      <c r="C417" s="451"/>
      <c r="D417" s="451"/>
      <c r="E417" s="451"/>
      <c r="F417" s="451"/>
      <c r="G417" s="451"/>
      <c r="H417" s="451"/>
      <c r="I417" s="451"/>
      <c r="J417" s="451"/>
      <c r="K417" s="451"/>
      <c r="L417" s="451"/>
      <c r="M417" s="451"/>
      <c r="N417" s="451"/>
      <c r="O417" s="451"/>
    </row>
    <row r="418" spans="1:15" x14ac:dyDescent="0.15">
      <c r="A418" s="451"/>
      <c r="B418" s="451"/>
      <c r="C418" s="451"/>
      <c r="D418" s="451"/>
      <c r="E418" s="451"/>
      <c r="F418" s="451"/>
      <c r="G418" s="451"/>
      <c r="H418" s="451"/>
      <c r="I418" s="451"/>
      <c r="J418" s="451"/>
      <c r="K418" s="451"/>
      <c r="L418" s="451"/>
      <c r="M418" s="451"/>
      <c r="N418" s="451"/>
      <c r="O418" s="451"/>
    </row>
    <row r="419" spans="1:15" x14ac:dyDescent="0.15">
      <c r="A419" s="451"/>
      <c r="B419" s="451"/>
      <c r="C419" s="451"/>
      <c r="D419" s="451"/>
      <c r="E419" s="451"/>
      <c r="F419" s="451"/>
      <c r="G419" s="451"/>
      <c r="H419" s="451"/>
      <c r="I419" s="451"/>
      <c r="J419" s="451"/>
      <c r="K419" s="451"/>
      <c r="L419" s="451"/>
      <c r="M419" s="451"/>
      <c r="N419" s="451"/>
      <c r="O419" s="451"/>
    </row>
    <row r="420" spans="1:15" x14ac:dyDescent="0.15">
      <c r="A420" s="451"/>
      <c r="B420" s="451"/>
      <c r="C420" s="451"/>
      <c r="D420" s="451"/>
      <c r="E420" s="451"/>
      <c r="F420" s="451"/>
      <c r="G420" s="451"/>
      <c r="H420" s="451"/>
      <c r="I420" s="451"/>
      <c r="J420" s="451"/>
      <c r="K420" s="451"/>
      <c r="L420" s="451"/>
      <c r="M420" s="451"/>
      <c r="N420" s="451"/>
      <c r="O420" s="451"/>
    </row>
    <row r="421" spans="1:15" x14ac:dyDescent="0.15">
      <c r="A421" s="451"/>
      <c r="B421" s="451"/>
      <c r="C421" s="451"/>
      <c r="D421" s="451"/>
      <c r="E421" s="451"/>
      <c r="F421" s="451"/>
      <c r="G421" s="451"/>
      <c r="H421" s="451"/>
      <c r="I421" s="451"/>
      <c r="J421" s="451"/>
      <c r="K421" s="451"/>
      <c r="L421" s="451"/>
      <c r="M421" s="451"/>
      <c r="N421" s="451"/>
      <c r="O421" s="451"/>
    </row>
    <row r="422" spans="1:15" x14ac:dyDescent="0.15">
      <c r="A422" s="451"/>
      <c r="B422" s="451"/>
      <c r="C422" s="451"/>
      <c r="D422" s="451"/>
      <c r="E422" s="451"/>
      <c r="F422" s="451"/>
      <c r="G422" s="451"/>
      <c r="H422" s="451"/>
      <c r="I422" s="451"/>
      <c r="J422" s="451"/>
      <c r="K422" s="451"/>
      <c r="L422" s="451"/>
      <c r="M422" s="451"/>
      <c r="N422" s="451"/>
      <c r="O422" s="451"/>
    </row>
    <row r="423" spans="1:15" x14ac:dyDescent="0.15">
      <c r="A423" s="451"/>
      <c r="B423" s="451"/>
      <c r="C423" s="451"/>
      <c r="D423" s="451"/>
      <c r="E423" s="451"/>
      <c r="F423" s="451"/>
      <c r="G423" s="451"/>
      <c r="H423" s="451"/>
      <c r="I423" s="451"/>
      <c r="J423" s="451"/>
      <c r="K423" s="451"/>
      <c r="L423" s="451"/>
      <c r="M423" s="451"/>
      <c r="N423" s="451"/>
      <c r="O423" s="451"/>
    </row>
    <row r="424" spans="1:15" x14ac:dyDescent="0.15">
      <c r="A424" s="451"/>
      <c r="B424" s="451"/>
      <c r="C424" s="451"/>
      <c r="D424" s="451"/>
      <c r="E424" s="451"/>
      <c r="F424" s="451"/>
      <c r="G424" s="451"/>
      <c r="H424" s="451"/>
      <c r="I424" s="451"/>
      <c r="J424" s="451"/>
      <c r="K424" s="451"/>
      <c r="L424" s="451"/>
      <c r="M424" s="451"/>
      <c r="N424" s="451"/>
      <c r="O424" s="451"/>
    </row>
    <row r="425" spans="1:15" x14ac:dyDescent="0.15">
      <c r="A425" s="451"/>
      <c r="B425" s="451"/>
      <c r="C425" s="451"/>
      <c r="D425" s="451"/>
      <c r="E425" s="451"/>
      <c r="F425" s="451"/>
      <c r="G425" s="451"/>
      <c r="H425" s="451"/>
      <c r="I425" s="451"/>
      <c r="J425" s="451"/>
      <c r="K425" s="451"/>
      <c r="L425" s="451"/>
      <c r="M425" s="451"/>
      <c r="N425" s="451"/>
      <c r="O425" s="451"/>
    </row>
    <row r="426" spans="1:15" x14ac:dyDescent="0.15">
      <c r="A426" s="451"/>
      <c r="B426" s="451"/>
      <c r="C426" s="451"/>
      <c r="D426" s="451"/>
      <c r="E426" s="451"/>
      <c r="F426" s="451"/>
      <c r="G426" s="451"/>
      <c r="H426" s="451"/>
      <c r="I426" s="451"/>
      <c r="J426" s="451"/>
      <c r="K426" s="451"/>
      <c r="L426" s="451"/>
      <c r="M426" s="451"/>
      <c r="N426" s="451"/>
      <c r="O426" s="451"/>
    </row>
    <row r="427" spans="1:15" x14ac:dyDescent="0.15">
      <c r="A427" s="451"/>
      <c r="B427" s="451"/>
      <c r="C427" s="451"/>
      <c r="D427" s="451"/>
      <c r="E427" s="451"/>
      <c r="F427" s="451"/>
      <c r="G427" s="451"/>
      <c r="H427" s="451"/>
      <c r="I427" s="451"/>
      <c r="J427" s="451"/>
      <c r="K427" s="451"/>
      <c r="L427" s="451"/>
      <c r="M427" s="451"/>
      <c r="N427" s="451"/>
      <c r="O427" s="451"/>
    </row>
    <row r="428" spans="1:15" x14ac:dyDescent="0.15">
      <c r="A428" s="451"/>
      <c r="B428" s="451"/>
      <c r="C428" s="451"/>
      <c r="D428" s="451"/>
      <c r="E428" s="451"/>
      <c r="F428" s="451"/>
      <c r="G428" s="451"/>
      <c r="H428" s="451"/>
      <c r="I428" s="451"/>
      <c r="J428" s="451"/>
      <c r="K428" s="451"/>
      <c r="L428" s="451"/>
      <c r="M428" s="451"/>
      <c r="N428" s="451"/>
      <c r="O428" s="451"/>
    </row>
    <row r="429" spans="1:15" x14ac:dyDescent="0.15">
      <c r="A429" s="451"/>
      <c r="B429" s="451"/>
      <c r="C429" s="451"/>
      <c r="D429" s="451"/>
      <c r="E429" s="451"/>
      <c r="F429" s="451"/>
      <c r="G429" s="451"/>
      <c r="H429" s="451"/>
      <c r="I429" s="451"/>
      <c r="J429" s="451"/>
      <c r="K429" s="451"/>
      <c r="L429" s="451"/>
      <c r="M429" s="451"/>
      <c r="N429" s="451"/>
      <c r="O429" s="451"/>
    </row>
    <row r="430" spans="1:15" x14ac:dyDescent="0.15">
      <c r="A430" s="451"/>
      <c r="B430" s="451"/>
      <c r="C430" s="451"/>
      <c r="D430" s="451"/>
      <c r="E430" s="451"/>
      <c r="F430" s="451"/>
      <c r="G430" s="451"/>
      <c r="H430" s="451"/>
      <c r="I430" s="451"/>
      <c r="J430" s="451"/>
      <c r="K430" s="451"/>
      <c r="L430" s="451"/>
      <c r="M430" s="451"/>
      <c r="N430" s="451"/>
      <c r="O430" s="451"/>
    </row>
    <row r="431" spans="1:15" x14ac:dyDescent="0.15">
      <c r="A431" s="451"/>
      <c r="B431" s="451"/>
      <c r="C431" s="451"/>
      <c r="D431" s="451"/>
      <c r="E431" s="451"/>
      <c r="F431" s="451"/>
      <c r="G431" s="451"/>
      <c r="H431" s="451"/>
      <c r="I431" s="451"/>
      <c r="J431" s="451"/>
      <c r="K431" s="451"/>
      <c r="L431" s="451"/>
      <c r="M431" s="451"/>
      <c r="N431" s="451"/>
      <c r="O431" s="451"/>
    </row>
    <row r="432" spans="1:15" x14ac:dyDescent="0.15">
      <c r="A432" s="451"/>
      <c r="B432" s="451"/>
      <c r="C432" s="451"/>
      <c r="D432" s="451"/>
      <c r="E432" s="451"/>
      <c r="F432" s="451"/>
      <c r="G432" s="451"/>
      <c r="H432" s="451"/>
      <c r="I432" s="451"/>
      <c r="J432" s="451"/>
      <c r="K432" s="451"/>
      <c r="L432" s="451"/>
      <c r="M432" s="451"/>
      <c r="N432" s="451"/>
      <c r="O432" s="451"/>
    </row>
    <row r="433" spans="1:15" x14ac:dyDescent="0.15">
      <c r="A433" s="451"/>
      <c r="B433" s="451"/>
      <c r="C433" s="451"/>
      <c r="D433" s="451"/>
      <c r="E433" s="451"/>
      <c r="F433" s="451"/>
      <c r="G433" s="451"/>
      <c r="H433" s="451"/>
      <c r="I433" s="451"/>
      <c r="J433" s="451"/>
      <c r="K433" s="451"/>
      <c r="L433" s="451"/>
      <c r="M433" s="451"/>
      <c r="N433" s="451"/>
      <c r="O433" s="451"/>
    </row>
    <row r="434" spans="1:15" x14ac:dyDescent="0.15">
      <c r="A434" s="451"/>
      <c r="B434" s="451"/>
      <c r="C434" s="451"/>
      <c r="D434" s="451"/>
      <c r="E434" s="451"/>
      <c r="F434" s="451"/>
      <c r="G434" s="451"/>
      <c r="H434" s="451"/>
      <c r="I434" s="451"/>
      <c r="J434" s="451"/>
      <c r="K434" s="451"/>
      <c r="L434" s="451"/>
      <c r="M434" s="451"/>
      <c r="N434" s="451"/>
      <c r="O434" s="451"/>
    </row>
    <row r="435" spans="1:15" x14ac:dyDescent="0.15">
      <c r="A435" s="451"/>
      <c r="B435" s="451"/>
      <c r="C435" s="451"/>
      <c r="D435" s="451"/>
      <c r="E435" s="451"/>
      <c r="F435" s="451"/>
      <c r="G435" s="451"/>
      <c r="H435" s="451"/>
      <c r="I435" s="451"/>
      <c r="J435" s="451"/>
      <c r="K435" s="451"/>
      <c r="L435" s="451"/>
      <c r="M435" s="451"/>
      <c r="N435" s="451"/>
      <c r="O435" s="451"/>
    </row>
    <row r="436" spans="1:15" x14ac:dyDescent="0.15">
      <c r="A436" s="451"/>
      <c r="B436" s="451"/>
      <c r="C436" s="451"/>
      <c r="D436" s="451"/>
      <c r="E436" s="451"/>
      <c r="F436" s="451"/>
      <c r="G436" s="451"/>
      <c r="H436" s="451"/>
      <c r="I436" s="451"/>
      <c r="J436" s="451"/>
      <c r="K436" s="451"/>
      <c r="L436" s="451"/>
      <c r="M436" s="451"/>
      <c r="N436" s="451"/>
      <c r="O436" s="451"/>
    </row>
    <row r="437" spans="1:15" x14ac:dyDescent="0.15">
      <c r="A437" s="451"/>
      <c r="B437" s="451"/>
      <c r="C437" s="451"/>
      <c r="D437" s="451"/>
      <c r="E437" s="451"/>
      <c r="F437" s="451"/>
      <c r="G437" s="451"/>
      <c r="H437" s="451"/>
      <c r="I437" s="451"/>
      <c r="J437" s="451"/>
      <c r="K437" s="451"/>
      <c r="L437" s="451"/>
      <c r="M437" s="451"/>
      <c r="N437" s="451"/>
      <c r="O437" s="451"/>
    </row>
    <row r="438" spans="1:15" x14ac:dyDescent="0.15">
      <c r="A438" s="451"/>
      <c r="B438" s="451"/>
      <c r="C438" s="451"/>
      <c r="D438" s="451"/>
      <c r="E438" s="451"/>
      <c r="F438" s="451"/>
      <c r="G438" s="451"/>
      <c r="H438" s="451"/>
      <c r="I438" s="451"/>
      <c r="J438" s="451"/>
      <c r="K438" s="451"/>
      <c r="L438" s="451"/>
      <c r="M438" s="451"/>
      <c r="N438" s="451"/>
      <c r="O438" s="451"/>
    </row>
    <row r="439" spans="1:15" x14ac:dyDescent="0.15">
      <c r="A439" s="451"/>
      <c r="B439" s="451"/>
      <c r="C439" s="451"/>
      <c r="D439" s="451"/>
      <c r="E439" s="451"/>
      <c r="F439" s="451"/>
      <c r="G439" s="451"/>
      <c r="H439" s="451"/>
      <c r="I439" s="451"/>
      <c r="J439" s="451"/>
      <c r="K439" s="451"/>
      <c r="L439" s="451"/>
      <c r="M439" s="451"/>
      <c r="N439" s="451"/>
      <c r="O439" s="451"/>
    </row>
    <row r="440" spans="1:15" x14ac:dyDescent="0.15">
      <c r="A440" s="451"/>
      <c r="B440" s="451"/>
      <c r="C440" s="451"/>
      <c r="D440" s="451"/>
      <c r="E440" s="451"/>
      <c r="F440" s="451"/>
      <c r="G440" s="451"/>
      <c r="H440" s="451"/>
      <c r="I440" s="451"/>
      <c r="J440" s="451"/>
      <c r="K440" s="451"/>
      <c r="L440" s="451"/>
      <c r="M440" s="451"/>
      <c r="N440" s="451"/>
      <c r="O440" s="451"/>
    </row>
    <row r="441" spans="1:15" x14ac:dyDescent="0.15">
      <c r="A441" s="451"/>
      <c r="B441" s="451"/>
      <c r="C441" s="451"/>
      <c r="D441" s="451"/>
      <c r="E441" s="451"/>
      <c r="F441" s="451"/>
      <c r="G441" s="451"/>
      <c r="H441" s="451"/>
      <c r="I441" s="451"/>
      <c r="J441" s="451"/>
      <c r="K441" s="451"/>
      <c r="L441" s="451"/>
      <c r="M441" s="451"/>
      <c r="N441" s="451"/>
      <c r="O441" s="451"/>
    </row>
    <row r="442" spans="1:15" x14ac:dyDescent="0.15">
      <c r="A442" s="451"/>
      <c r="B442" s="451"/>
      <c r="C442" s="451"/>
      <c r="D442" s="451"/>
      <c r="E442" s="451"/>
      <c r="F442" s="451"/>
      <c r="G442" s="451"/>
      <c r="H442" s="451"/>
      <c r="I442" s="451"/>
      <c r="J442" s="451"/>
      <c r="K442" s="451"/>
      <c r="L442" s="451"/>
      <c r="M442" s="451"/>
      <c r="N442" s="451"/>
      <c r="O442" s="451"/>
    </row>
    <row r="443" spans="1:15" x14ac:dyDescent="0.15">
      <c r="A443" s="451"/>
      <c r="B443" s="451"/>
      <c r="C443" s="451"/>
      <c r="D443" s="451"/>
      <c r="E443" s="451"/>
      <c r="F443" s="451"/>
      <c r="G443" s="451"/>
      <c r="H443" s="451"/>
      <c r="I443" s="451"/>
      <c r="J443" s="451"/>
      <c r="K443" s="451"/>
      <c r="L443" s="451"/>
      <c r="M443" s="451"/>
      <c r="N443" s="451"/>
      <c r="O443" s="451"/>
    </row>
    <row r="444" spans="1:15" x14ac:dyDescent="0.15">
      <c r="A444" s="451"/>
      <c r="B444" s="451"/>
      <c r="C444" s="451"/>
      <c r="D444" s="451"/>
      <c r="E444" s="451"/>
      <c r="F444" s="451"/>
      <c r="G444" s="451"/>
      <c r="H444" s="451"/>
      <c r="I444" s="451"/>
      <c r="J444" s="451"/>
      <c r="K444" s="451"/>
      <c r="L444" s="451"/>
      <c r="M444" s="451"/>
      <c r="N444" s="451"/>
      <c r="O444" s="451"/>
    </row>
    <row r="445" spans="1:15" x14ac:dyDescent="0.15">
      <c r="A445" s="451"/>
      <c r="B445" s="451"/>
      <c r="C445" s="451"/>
      <c r="D445" s="451"/>
      <c r="E445" s="451"/>
      <c r="F445" s="451"/>
      <c r="G445" s="451"/>
      <c r="H445" s="451"/>
      <c r="I445" s="451"/>
      <c r="J445" s="451"/>
      <c r="K445" s="451"/>
      <c r="L445" s="451"/>
      <c r="M445" s="451"/>
      <c r="N445" s="451"/>
      <c r="O445" s="451"/>
    </row>
    <row r="446" spans="1:15" x14ac:dyDescent="0.15">
      <c r="A446" s="451"/>
      <c r="B446" s="451"/>
      <c r="C446" s="451"/>
      <c r="D446" s="451"/>
      <c r="E446" s="451"/>
      <c r="F446" s="451"/>
      <c r="G446" s="451"/>
      <c r="H446" s="451"/>
      <c r="I446" s="451"/>
      <c r="J446" s="451"/>
      <c r="K446" s="451"/>
      <c r="L446" s="451"/>
      <c r="M446" s="451"/>
      <c r="N446" s="451"/>
      <c r="O446" s="451"/>
    </row>
    <row r="447" spans="1:15" x14ac:dyDescent="0.15">
      <c r="A447" s="451"/>
      <c r="B447" s="451"/>
      <c r="C447" s="451"/>
      <c r="D447" s="451"/>
      <c r="E447" s="451"/>
      <c r="F447" s="451"/>
      <c r="G447" s="451"/>
      <c r="H447" s="451"/>
      <c r="I447" s="451"/>
      <c r="J447" s="451"/>
      <c r="K447" s="451"/>
      <c r="L447" s="451"/>
      <c r="M447" s="451"/>
      <c r="N447" s="451"/>
      <c r="O447" s="451"/>
    </row>
    <row r="448" spans="1:15" x14ac:dyDescent="0.15">
      <c r="A448" s="451"/>
      <c r="B448" s="451"/>
      <c r="C448" s="451"/>
      <c r="D448" s="451"/>
      <c r="E448" s="451"/>
      <c r="F448" s="451"/>
      <c r="G448" s="451"/>
      <c r="H448" s="451"/>
      <c r="I448" s="451"/>
      <c r="J448" s="451"/>
      <c r="K448" s="451"/>
      <c r="L448" s="451"/>
      <c r="M448" s="451"/>
      <c r="N448" s="451"/>
      <c r="O448" s="451"/>
    </row>
    <row r="449" spans="1:15" x14ac:dyDescent="0.15">
      <c r="A449" s="451"/>
      <c r="B449" s="451"/>
      <c r="C449" s="451"/>
      <c r="D449" s="451"/>
      <c r="E449" s="451"/>
      <c r="F449" s="451"/>
      <c r="G449" s="451"/>
      <c r="H449" s="451"/>
      <c r="I449" s="451"/>
      <c r="J449" s="451"/>
      <c r="K449" s="451"/>
      <c r="L449" s="451"/>
      <c r="M449" s="451"/>
      <c r="N449" s="451"/>
      <c r="O449" s="451"/>
    </row>
    <row r="450" spans="1:15" x14ac:dyDescent="0.15">
      <c r="A450" s="451"/>
      <c r="B450" s="451"/>
      <c r="C450" s="451"/>
      <c r="D450" s="451"/>
      <c r="E450" s="451"/>
      <c r="F450" s="451"/>
      <c r="G450" s="451"/>
      <c r="H450" s="451"/>
      <c r="I450" s="451"/>
      <c r="J450" s="451"/>
      <c r="K450" s="451"/>
      <c r="L450" s="451"/>
      <c r="M450" s="451"/>
      <c r="N450" s="451"/>
      <c r="O450" s="451"/>
    </row>
    <row r="451" spans="1:15" x14ac:dyDescent="0.15">
      <c r="A451" s="451"/>
      <c r="B451" s="451"/>
      <c r="C451" s="451"/>
      <c r="D451" s="451"/>
      <c r="E451" s="451"/>
      <c r="F451" s="451"/>
      <c r="G451" s="451"/>
      <c r="H451" s="451"/>
      <c r="I451" s="451"/>
      <c r="J451" s="451"/>
      <c r="K451" s="451"/>
      <c r="L451" s="451"/>
      <c r="M451" s="451"/>
      <c r="N451" s="451"/>
      <c r="O451" s="451"/>
    </row>
    <row r="452" spans="1:15" x14ac:dyDescent="0.15">
      <c r="A452" s="451"/>
      <c r="B452" s="451"/>
      <c r="C452" s="451"/>
      <c r="D452" s="451"/>
      <c r="E452" s="451"/>
      <c r="F452" s="451"/>
      <c r="G452" s="451"/>
      <c r="H452" s="451"/>
      <c r="I452" s="451"/>
      <c r="J452" s="451"/>
      <c r="K452" s="451"/>
      <c r="L452" s="451"/>
      <c r="M452" s="451"/>
      <c r="N452" s="451"/>
      <c r="O452" s="451"/>
    </row>
    <row r="453" spans="1:15" x14ac:dyDescent="0.15">
      <c r="A453" s="451"/>
      <c r="B453" s="451"/>
      <c r="C453" s="451"/>
      <c r="D453" s="451"/>
      <c r="E453" s="451"/>
      <c r="F453" s="451"/>
      <c r="G453" s="451"/>
      <c r="H453" s="451"/>
      <c r="I453" s="451"/>
      <c r="J453" s="451"/>
      <c r="K453" s="451"/>
      <c r="L453" s="451"/>
      <c r="M453" s="451"/>
      <c r="N453" s="451"/>
      <c r="O453" s="451"/>
    </row>
    <row r="454" spans="1:15" x14ac:dyDescent="0.15">
      <c r="A454" s="451"/>
      <c r="B454" s="451"/>
      <c r="C454" s="451"/>
      <c r="D454" s="451"/>
      <c r="E454" s="451"/>
      <c r="F454" s="451"/>
      <c r="G454" s="451"/>
      <c r="H454" s="451"/>
      <c r="I454" s="451"/>
      <c r="J454" s="451"/>
      <c r="K454" s="451"/>
      <c r="L454" s="451"/>
      <c r="M454" s="451"/>
      <c r="N454" s="451"/>
      <c r="O454" s="451"/>
    </row>
    <row r="455" spans="1:15" x14ac:dyDescent="0.15">
      <c r="A455" s="451"/>
      <c r="B455" s="451"/>
      <c r="C455" s="451"/>
      <c r="D455" s="451"/>
      <c r="E455" s="451"/>
      <c r="F455" s="451"/>
      <c r="G455" s="451"/>
      <c r="H455" s="451"/>
      <c r="I455" s="451"/>
      <c r="J455" s="451"/>
      <c r="K455" s="451"/>
      <c r="L455" s="451"/>
      <c r="M455" s="451"/>
      <c r="N455" s="451"/>
      <c r="O455" s="451"/>
    </row>
    <row r="456" spans="1:15" x14ac:dyDescent="0.15">
      <c r="A456" s="451"/>
      <c r="B456" s="451"/>
      <c r="C456" s="451"/>
      <c r="D456" s="451"/>
      <c r="E456" s="451"/>
      <c r="F456" s="451"/>
      <c r="G456" s="451"/>
      <c r="H456" s="451"/>
      <c r="I456" s="451"/>
      <c r="J456" s="451"/>
      <c r="K456" s="451"/>
      <c r="L456" s="451"/>
      <c r="M456" s="451"/>
      <c r="N456" s="451"/>
      <c r="O456" s="451"/>
    </row>
    <row r="457" spans="1:15" x14ac:dyDescent="0.15">
      <c r="A457" s="451"/>
      <c r="B457" s="451"/>
      <c r="C457" s="451"/>
      <c r="D457" s="451"/>
      <c r="E457" s="451"/>
      <c r="F457" s="451"/>
      <c r="G457" s="451"/>
      <c r="H457" s="451"/>
      <c r="I457" s="451"/>
      <c r="J457" s="451"/>
      <c r="K457" s="451"/>
      <c r="L457" s="451"/>
      <c r="M457" s="451"/>
      <c r="N457" s="451"/>
      <c r="O457" s="451"/>
    </row>
    <row r="458" spans="1:15" x14ac:dyDescent="0.15">
      <c r="A458" s="451"/>
      <c r="B458" s="451"/>
      <c r="C458" s="451"/>
      <c r="D458" s="451"/>
      <c r="E458" s="451"/>
      <c r="F458" s="451"/>
      <c r="G458" s="451"/>
      <c r="H458" s="451"/>
      <c r="I458" s="451"/>
      <c r="J458" s="451"/>
      <c r="K458" s="451"/>
      <c r="L458" s="451"/>
      <c r="M458" s="451"/>
      <c r="N458" s="451"/>
      <c r="O458" s="451"/>
    </row>
    <row r="459" spans="1:15" x14ac:dyDescent="0.15">
      <c r="A459" s="451"/>
      <c r="B459" s="451"/>
      <c r="C459" s="451"/>
      <c r="D459" s="451"/>
      <c r="E459" s="451"/>
      <c r="F459" s="451"/>
      <c r="G459" s="451"/>
      <c r="H459" s="451"/>
      <c r="I459" s="451"/>
      <c r="J459" s="451"/>
      <c r="K459" s="451"/>
      <c r="L459" s="451"/>
      <c r="M459" s="451"/>
      <c r="N459" s="451"/>
      <c r="O459" s="451"/>
    </row>
    <row r="460" spans="1:15" x14ac:dyDescent="0.15">
      <c r="A460" s="451"/>
      <c r="B460" s="451"/>
      <c r="C460" s="451"/>
      <c r="D460" s="451"/>
      <c r="E460" s="451"/>
      <c r="F460" s="451"/>
      <c r="G460" s="451"/>
      <c r="H460" s="451"/>
      <c r="I460" s="451"/>
      <c r="J460" s="451"/>
      <c r="K460" s="451"/>
      <c r="L460" s="451"/>
      <c r="M460" s="451"/>
      <c r="N460" s="451"/>
      <c r="O460" s="451"/>
    </row>
    <row r="461" spans="1:15" x14ac:dyDescent="0.15">
      <c r="A461" s="451"/>
      <c r="B461" s="451"/>
      <c r="C461" s="451"/>
      <c r="D461" s="451"/>
      <c r="E461" s="451"/>
      <c r="F461" s="451"/>
      <c r="G461" s="451"/>
      <c r="H461" s="451"/>
      <c r="I461" s="451"/>
      <c r="J461" s="451"/>
      <c r="K461" s="451"/>
      <c r="L461" s="451"/>
      <c r="M461" s="451"/>
      <c r="N461" s="451"/>
      <c r="O461" s="451"/>
    </row>
    <row r="462" spans="1:15" x14ac:dyDescent="0.15">
      <c r="A462" s="451"/>
      <c r="B462" s="451"/>
      <c r="C462" s="451"/>
      <c r="D462" s="451"/>
      <c r="E462" s="451"/>
      <c r="F462" s="451"/>
      <c r="G462" s="451"/>
      <c r="H462" s="451"/>
      <c r="I462" s="451"/>
      <c r="J462" s="451"/>
      <c r="K462" s="451"/>
      <c r="L462" s="451"/>
      <c r="M462" s="451"/>
      <c r="N462" s="451"/>
      <c r="O462" s="451"/>
    </row>
    <row r="463" spans="1:15" x14ac:dyDescent="0.15">
      <c r="A463" s="451"/>
      <c r="B463" s="451"/>
      <c r="C463" s="451"/>
      <c r="D463" s="451"/>
      <c r="E463" s="451"/>
      <c r="F463" s="451"/>
      <c r="G463" s="451"/>
      <c r="H463" s="451"/>
      <c r="I463" s="451"/>
      <c r="J463" s="451"/>
      <c r="K463" s="451"/>
      <c r="L463" s="451"/>
      <c r="M463" s="451"/>
      <c r="N463" s="451"/>
      <c r="O463" s="451"/>
    </row>
    <row r="464" spans="1:15" x14ac:dyDescent="0.15">
      <c r="A464" s="451"/>
      <c r="B464" s="451"/>
      <c r="C464" s="451"/>
      <c r="D464" s="451"/>
      <c r="E464" s="451"/>
      <c r="F464" s="451"/>
      <c r="G464" s="451"/>
      <c r="H464" s="451"/>
      <c r="I464" s="451"/>
      <c r="J464" s="451"/>
      <c r="K464" s="451"/>
      <c r="L464" s="451"/>
      <c r="M464" s="451"/>
      <c r="N464" s="451"/>
      <c r="O464" s="451"/>
    </row>
    <row r="465" spans="1:15" x14ac:dyDescent="0.15">
      <c r="A465" s="451"/>
      <c r="B465" s="451"/>
      <c r="C465" s="451"/>
      <c r="D465" s="451"/>
      <c r="E465" s="451"/>
      <c r="F465" s="451"/>
      <c r="G465" s="451"/>
      <c r="H465" s="451"/>
      <c r="I465" s="451"/>
      <c r="J465" s="451"/>
      <c r="K465" s="451"/>
      <c r="L465" s="451"/>
      <c r="M465" s="451"/>
      <c r="N465" s="451"/>
      <c r="O465" s="451"/>
    </row>
    <row r="466" spans="1:15" x14ac:dyDescent="0.15">
      <c r="A466" s="451"/>
      <c r="B466" s="451"/>
      <c r="C466" s="451"/>
      <c r="D466" s="451"/>
      <c r="E466" s="451"/>
      <c r="F466" s="451"/>
      <c r="G466" s="451"/>
      <c r="H466" s="451"/>
      <c r="I466" s="451"/>
      <c r="J466" s="451"/>
      <c r="K466" s="451"/>
      <c r="L466" s="451"/>
      <c r="M466" s="451"/>
      <c r="N466" s="451"/>
      <c r="O466" s="451"/>
    </row>
    <row r="467" spans="1:15" x14ac:dyDescent="0.15">
      <c r="A467" s="451"/>
      <c r="B467" s="451"/>
      <c r="C467" s="451"/>
      <c r="D467" s="451"/>
      <c r="E467" s="451"/>
      <c r="F467" s="451"/>
      <c r="G467" s="451"/>
      <c r="H467" s="451"/>
      <c r="I467" s="451"/>
      <c r="J467" s="451"/>
      <c r="K467" s="451"/>
      <c r="L467" s="451"/>
      <c r="M467" s="451"/>
      <c r="N467" s="451"/>
      <c r="O467" s="451"/>
    </row>
    <row r="468" spans="1:15" x14ac:dyDescent="0.15">
      <c r="A468" s="451"/>
      <c r="B468" s="451"/>
      <c r="C468" s="451"/>
      <c r="D468" s="451"/>
      <c r="E468" s="451"/>
      <c r="F468" s="451"/>
      <c r="G468" s="451"/>
      <c r="H468" s="451"/>
      <c r="I468" s="451"/>
      <c r="J468" s="451"/>
      <c r="K468" s="451"/>
      <c r="L468" s="451"/>
      <c r="M468" s="451"/>
      <c r="N468" s="451"/>
      <c r="O468" s="451"/>
    </row>
    <row r="469" spans="1:15" x14ac:dyDescent="0.15">
      <c r="A469" s="451"/>
      <c r="B469" s="451"/>
      <c r="C469" s="451"/>
      <c r="D469" s="451"/>
      <c r="E469" s="451"/>
      <c r="F469" s="451"/>
      <c r="G469" s="451"/>
      <c r="H469" s="451"/>
      <c r="I469" s="451"/>
      <c r="J469" s="451"/>
      <c r="K469" s="451"/>
      <c r="L469" s="451"/>
      <c r="M469" s="451"/>
      <c r="N469" s="451"/>
      <c r="O469" s="451"/>
    </row>
    <row r="470" spans="1:15" x14ac:dyDescent="0.15">
      <c r="A470" s="451"/>
      <c r="B470" s="451"/>
      <c r="C470" s="451"/>
      <c r="D470" s="451"/>
      <c r="E470" s="451"/>
      <c r="F470" s="451"/>
      <c r="G470" s="451"/>
      <c r="H470" s="451"/>
      <c r="I470" s="451"/>
      <c r="J470" s="451"/>
      <c r="K470" s="451"/>
      <c r="L470" s="451"/>
      <c r="M470" s="451"/>
      <c r="N470" s="451"/>
      <c r="O470" s="451"/>
    </row>
    <row r="471" spans="1:15" x14ac:dyDescent="0.15">
      <c r="A471" s="451"/>
      <c r="B471" s="451"/>
      <c r="C471" s="451"/>
      <c r="D471" s="451"/>
      <c r="E471" s="451"/>
      <c r="F471" s="451"/>
      <c r="G471" s="451"/>
      <c r="H471" s="451"/>
      <c r="I471" s="451"/>
      <c r="J471" s="451"/>
      <c r="K471" s="451"/>
      <c r="L471" s="451"/>
      <c r="M471" s="451"/>
      <c r="N471" s="451"/>
      <c r="O471" s="451"/>
    </row>
    <row r="472" spans="1:15" x14ac:dyDescent="0.15">
      <c r="A472" s="451"/>
      <c r="B472" s="451"/>
      <c r="C472" s="451"/>
      <c r="D472" s="451"/>
      <c r="E472" s="451"/>
      <c r="F472" s="451"/>
      <c r="G472" s="451"/>
      <c r="H472" s="451"/>
      <c r="I472" s="451"/>
      <c r="J472" s="451"/>
      <c r="K472" s="451"/>
      <c r="L472" s="451"/>
      <c r="M472" s="451"/>
      <c r="N472" s="451"/>
      <c r="O472" s="451"/>
    </row>
    <row r="473" spans="1:15" x14ac:dyDescent="0.15">
      <c r="A473" s="451"/>
      <c r="B473" s="451"/>
      <c r="C473" s="451"/>
      <c r="D473" s="451"/>
      <c r="E473" s="451"/>
      <c r="F473" s="451"/>
      <c r="G473" s="451"/>
      <c r="H473" s="451"/>
      <c r="I473" s="451"/>
      <c r="J473" s="451"/>
      <c r="K473" s="451"/>
      <c r="L473" s="451"/>
      <c r="M473" s="451"/>
      <c r="N473" s="451"/>
      <c r="O473" s="451"/>
    </row>
    <row r="474" spans="1:15" x14ac:dyDescent="0.15">
      <c r="A474" s="451"/>
      <c r="B474" s="451"/>
      <c r="C474" s="451"/>
      <c r="D474" s="451"/>
      <c r="E474" s="451"/>
      <c r="F474" s="451"/>
      <c r="G474" s="451"/>
      <c r="H474" s="451"/>
      <c r="I474" s="451"/>
      <c r="J474" s="451"/>
      <c r="K474" s="451"/>
      <c r="L474" s="451"/>
      <c r="M474" s="451"/>
      <c r="N474" s="451"/>
      <c r="O474" s="451"/>
    </row>
    <row r="475" spans="1:15" x14ac:dyDescent="0.15">
      <c r="A475" s="451"/>
      <c r="B475" s="451"/>
      <c r="C475" s="451"/>
      <c r="D475" s="451"/>
      <c r="E475" s="451"/>
      <c r="F475" s="451"/>
      <c r="G475" s="451"/>
      <c r="H475" s="451"/>
      <c r="I475" s="451"/>
      <c r="J475" s="451"/>
      <c r="K475" s="451"/>
      <c r="L475" s="451"/>
      <c r="M475" s="451"/>
      <c r="N475" s="451"/>
      <c r="O475" s="451"/>
    </row>
    <row r="476" spans="1:15" x14ac:dyDescent="0.15">
      <c r="A476" s="451"/>
      <c r="B476" s="451"/>
      <c r="C476" s="451"/>
      <c r="D476" s="451"/>
      <c r="E476" s="451"/>
      <c r="F476" s="451"/>
      <c r="G476" s="451"/>
      <c r="H476" s="451"/>
      <c r="I476" s="451"/>
      <c r="J476" s="451"/>
      <c r="K476" s="451"/>
      <c r="L476" s="451"/>
      <c r="M476" s="451"/>
      <c r="N476" s="451"/>
      <c r="O476" s="451"/>
    </row>
    <row r="477" spans="1:15" x14ac:dyDescent="0.15">
      <c r="A477" s="451"/>
      <c r="B477" s="451"/>
      <c r="C477" s="451"/>
      <c r="D477" s="451"/>
      <c r="E477" s="451"/>
      <c r="F477" s="451"/>
      <c r="G477" s="451"/>
      <c r="H477" s="451"/>
      <c r="I477" s="451"/>
      <c r="J477" s="451"/>
      <c r="K477" s="451"/>
      <c r="L477" s="451"/>
      <c r="M477" s="451"/>
      <c r="N477" s="451"/>
      <c r="O477" s="451"/>
    </row>
    <row r="478" spans="1:15" x14ac:dyDescent="0.15">
      <c r="A478" s="451"/>
      <c r="B478" s="451"/>
      <c r="C478" s="451"/>
      <c r="D478" s="451"/>
      <c r="E478" s="451"/>
      <c r="F478" s="451"/>
      <c r="G478" s="451"/>
      <c r="H478" s="451"/>
      <c r="I478" s="451"/>
      <c r="J478" s="451"/>
      <c r="K478" s="451"/>
      <c r="L478" s="451"/>
      <c r="M478" s="451"/>
      <c r="N478" s="451"/>
      <c r="O478" s="451"/>
    </row>
    <row r="479" spans="1:15" x14ac:dyDescent="0.15">
      <c r="A479" s="451"/>
      <c r="B479" s="451"/>
      <c r="C479" s="451"/>
      <c r="D479" s="451"/>
      <c r="E479" s="451"/>
      <c r="F479" s="451"/>
      <c r="G479" s="451"/>
      <c r="H479" s="451"/>
      <c r="I479" s="451"/>
      <c r="J479" s="451"/>
      <c r="K479" s="451"/>
      <c r="L479" s="451"/>
      <c r="M479" s="451"/>
      <c r="N479" s="451"/>
      <c r="O479" s="451"/>
    </row>
    <row r="480" spans="1:15" x14ac:dyDescent="0.15">
      <c r="A480" s="451"/>
      <c r="B480" s="451"/>
      <c r="C480" s="451"/>
      <c r="D480" s="451"/>
      <c r="E480" s="451"/>
      <c r="F480" s="451"/>
      <c r="G480" s="451"/>
      <c r="H480" s="451"/>
      <c r="I480" s="451"/>
      <c r="J480" s="451"/>
      <c r="K480" s="451"/>
      <c r="L480" s="451"/>
      <c r="M480" s="451"/>
      <c r="N480" s="451"/>
      <c r="O480" s="451"/>
    </row>
    <row r="481" spans="1:15" x14ac:dyDescent="0.15">
      <c r="A481" s="451"/>
      <c r="B481" s="451"/>
      <c r="C481" s="451"/>
      <c r="D481" s="451"/>
      <c r="E481" s="451"/>
      <c r="F481" s="451"/>
      <c r="G481" s="451"/>
      <c r="H481" s="451"/>
      <c r="I481" s="451"/>
      <c r="J481" s="451"/>
      <c r="K481" s="451"/>
      <c r="L481" s="451"/>
      <c r="M481" s="451"/>
      <c r="N481" s="451"/>
      <c r="O481" s="451"/>
    </row>
    <row r="482" spans="1:15" x14ac:dyDescent="0.15">
      <c r="A482" s="451"/>
      <c r="B482" s="451"/>
      <c r="C482" s="451"/>
      <c r="D482" s="451"/>
      <c r="E482" s="451"/>
      <c r="F482" s="451"/>
      <c r="G482" s="451"/>
      <c r="H482" s="451"/>
      <c r="I482" s="451"/>
      <c r="J482" s="451"/>
      <c r="K482" s="451"/>
      <c r="L482" s="451"/>
      <c r="M482" s="451"/>
      <c r="N482" s="451"/>
      <c r="O482" s="451"/>
    </row>
    <row r="483" spans="1:15" x14ac:dyDescent="0.15">
      <c r="A483" s="451"/>
      <c r="B483" s="451"/>
      <c r="C483" s="451"/>
      <c r="D483" s="451"/>
      <c r="E483" s="451"/>
      <c r="F483" s="451"/>
      <c r="G483" s="451"/>
      <c r="H483" s="451"/>
      <c r="I483" s="451"/>
      <c r="J483" s="451"/>
      <c r="K483" s="451"/>
      <c r="L483" s="451"/>
      <c r="M483" s="451"/>
      <c r="N483" s="451"/>
      <c r="O483" s="451"/>
    </row>
    <row r="484" spans="1:15" x14ac:dyDescent="0.15">
      <c r="A484" s="451"/>
      <c r="B484" s="451"/>
      <c r="C484" s="451"/>
      <c r="D484" s="451"/>
      <c r="E484" s="451"/>
      <c r="F484" s="451"/>
      <c r="G484" s="451"/>
      <c r="H484" s="451"/>
      <c r="I484" s="451"/>
      <c r="J484" s="451"/>
      <c r="K484" s="451"/>
      <c r="L484" s="451"/>
      <c r="M484" s="451"/>
      <c r="N484" s="451"/>
      <c r="O484" s="451"/>
    </row>
    <row r="485" spans="1:15" x14ac:dyDescent="0.15">
      <c r="A485" s="451"/>
      <c r="B485" s="451"/>
      <c r="C485" s="451"/>
      <c r="D485" s="451"/>
      <c r="E485" s="451"/>
      <c r="F485" s="451"/>
      <c r="G485" s="451"/>
      <c r="H485" s="451"/>
      <c r="I485" s="451"/>
      <c r="J485" s="451"/>
      <c r="K485" s="451"/>
      <c r="L485" s="451"/>
      <c r="M485" s="451"/>
      <c r="N485" s="451"/>
      <c r="O485" s="451"/>
    </row>
    <row r="486" spans="1:15" x14ac:dyDescent="0.15">
      <c r="A486" s="451"/>
      <c r="B486" s="451"/>
      <c r="C486" s="451"/>
      <c r="D486" s="451"/>
      <c r="E486" s="451"/>
      <c r="F486" s="451"/>
      <c r="G486" s="451"/>
      <c r="H486" s="451"/>
      <c r="I486" s="451"/>
      <c r="J486" s="451"/>
      <c r="K486" s="451"/>
      <c r="L486" s="451"/>
      <c r="M486" s="451"/>
      <c r="N486" s="451"/>
      <c r="O486" s="451"/>
    </row>
    <row r="487" spans="1:15" x14ac:dyDescent="0.15">
      <c r="A487" s="451"/>
      <c r="B487" s="451"/>
      <c r="C487" s="451"/>
      <c r="D487" s="451"/>
      <c r="E487" s="451"/>
      <c r="F487" s="451"/>
      <c r="G487" s="451"/>
      <c r="H487" s="451"/>
      <c r="I487" s="451"/>
      <c r="J487" s="451"/>
      <c r="K487" s="451"/>
      <c r="L487" s="451"/>
      <c r="M487" s="451"/>
      <c r="N487" s="451"/>
      <c r="O487" s="451"/>
    </row>
    <row r="488" spans="1:15" x14ac:dyDescent="0.15">
      <c r="A488" s="451"/>
      <c r="B488" s="451"/>
      <c r="C488" s="451"/>
      <c r="D488" s="451"/>
      <c r="E488" s="451"/>
      <c r="F488" s="451"/>
      <c r="G488" s="451"/>
      <c r="H488" s="451"/>
      <c r="I488" s="451"/>
      <c r="J488" s="451"/>
      <c r="K488" s="451"/>
      <c r="L488" s="451"/>
      <c r="M488" s="451"/>
      <c r="N488" s="451"/>
      <c r="O488" s="451"/>
    </row>
    <row r="489" spans="1:15" x14ac:dyDescent="0.15">
      <c r="A489" s="451"/>
      <c r="B489" s="451"/>
      <c r="C489" s="451"/>
      <c r="D489" s="451"/>
      <c r="E489" s="451"/>
      <c r="F489" s="451"/>
      <c r="G489" s="451"/>
      <c r="H489" s="451"/>
      <c r="I489" s="451"/>
      <c r="J489" s="451"/>
      <c r="K489" s="451"/>
      <c r="L489" s="451"/>
      <c r="M489" s="451"/>
      <c r="N489" s="451"/>
      <c r="O489" s="451"/>
    </row>
    <row r="490" spans="1:15" x14ac:dyDescent="0.15">
      <c r="A490" s="451"/>
      <c r="B490" s="451"/>
      <c r="C490" s="451"/>
      <c r="D490" s="451"/>
      <c r="E490" s="451"/>
      <c r="F490" s="451"/>
      <c r="G490" s="451"/>
      <c r="H490" s="451"/>
      <c r="I490" s="451"/>
      <c r="J490" s="451"/>
      <c r="K490" s="451"/>
      <c r="L490" s="451"/>
      <c r="M490" s="451"/>
      <c r="N490" s="451"/>
      <c r="O490" s="451"/>
    </row>
    <row r="491" spans="1:15" x14ac:dyDescent="0.15">
      <c r="A491" s="451"/>
      <c r="B491" s="451"/>
      <c r="C491" s="451"/>
      <c r="D491" s="451"/>
      <c r="E491" s="451"/>
      <c r="F491" s="451"/>
      <c r="G491" s="451"/>
      <c r="H491" s="451"/>
      <c r="I491" s="451"/>
      <c r="J491" s="451"/>
      <c r="K491" s="451"/>
      <c r="L491" s="451"/>
      <c r="M491" s="451"/>
      <c r="N491" s="451"/>
      <c r="O491" s="451"/>
    </row>
    <row r="492" spans="1:15" x14ac:dyDescent="0.15">
      <c r="A492" s="451"/>
      <c r="B492" s="451"/>
      <c r="C492" s="451"/>
      <c r="D492" s="451"/>
      <c r="E492" s="451"/>
      <c r="F492" s="451"/>
      <c r="G492" s="451"/>
      <c r="H492" s="451"/>
      <c r="I492" s="451"/>
      <c r="J492" s="451"/>
      <c r="K492" s="451"/>
      <c r="L492" s="451"/>
      <c r="M492" s="451"/>
      <c r="N492" s="451"/>
      <c r="O492" s="451"/>
    </row>
    <row r="493" spans="1:15" x14ac:dyDescent="0.15">
      <c r="A493" s="451"/>
      <c r="B493" s="451"/>
      <c r="C493" s="451"/>
      <c r="D493" s="451"/>
      <c r="E493" s="451"/>
      <c r="F493" s="451"/>
      <c r="G493" s="451"/>
      <c r="H493" s="451"/>
      <c r="I493" s="451"/>
      <c r="J493" s="451"/>
      <c r="K493" s="451"/>
      <c r="L493" s="451"/>
      <c r="M493" s="451"/>
      <c r="N493" s="451"/>
      <c r="O493" s="451"/>
    </row>
    <row r="494" spans="1:15" x14ac:dyDescent="0.15">
      <c r="A494" s="451"/>
      <c r="B494" s="451"/>
      <c r="C494" s="451"/>
      <c r="D494" s="451"/>
      <c r="E494" s="451"/>
      <c r="F494" s="451"/>
      <c r="G494" s="451"/>
      <c r="H494" s="451"/>
      <c r="I494" s="451"/>
      <c r="J494" s="451"/>
      <c r="K494" s="451"/>
      <c r="L494" s="451"/>
      <c r="M494" s="451"/>
      <c r="N494" s="451"/>
      <c r="O494" s="451"/>
    </row>
    <row r="495" spans="1:15" x14ac:dyDescent="0.15">
      <c r="A495" s="451"/>
      <c r="B495" s="451"/>
      <c r="C495" s="451"/>
      <c r="D495" s="451"/>
      <c r="E495" s="451"/>
      <c r="F495" s="451"/>
      <c r="G495" s="451"/>
      <c r="H495" s="451"/>
      <c r="I495" s="451"/>
      <c r="J495" s="451"/>
      <c r="K495" s="451"/>
      <c r="L495" s="451"/>
      <c r="M495" s="451"/>
      <c r="N495" s="451"/>
      <c r="O495" s="451"/>
    </row>
    <row r="496" spans="1:15" x14ac:dyDescent="0.15">
      <c r="A496" s="451"/>
      <c r="B496" s="451"/>
      <c r="C496" s="451"/>
      <c r="D496" s="451"/>
      <c r="E496" s="451"/>
      <c r="F496" s="451"/>
      <c r="G496" s="451"/>
      <c r="H496" s="451"/>
      <c r="I496" s="451"/>
      <c r="J496" s="451"/>
      <c r="K496" s="451"/>
      <c r="L496" s="451"/>
      <c r="M496" s="451"/>
      <c r="N496" s="451"/>
      <c r="O496" s="451"/>
    </row>
    <row r="497" spans="1:15" x14ac:dyDescent="0.15">
      <c r="A497" s="451"/>
      <c r="B497" s="451"/>
      <c r="C497" s="451"/>
      <c r="D497" s="451"/>
      <c r="E497" s="451"/>
      <c r="F497" s="451"/>
      <c r="G497" s="451"/>
      <c r="H497" s="451"/>
      <c r="I497" s="451"/>
      <c r="J497" s="451"/>
      <c r="K497" s="451"/>
      <c r="L497" s="451"/>
      <c r="M497" s="451"/>
      <c r="N497" s="451"/>
      <c r="O497" s="451"/>
    </row>
    <row r="498" spans="1:15" x14ac:dyDescent="0.15">
      <c r="A498" s="451"/>
      <c r="B498" s="451"/>
      <c r="C498" s="451"/>
      <c r="D498" s="451"/>
      <c r="E498" s="451"/>
      <c r="F498" s="451"/>
      <c r="G498" s="451"/>
      <c r="H498" s="451"/>
      <c r="I498" s="451"/>
      <c r="J498" s="451"/>
      <c r="K498" s="451"/>
      <c r="L498" s="451"/>
      <c r="M498" s="451"/>
      <c r="N498" s="451"/>
      <c r="O498" s="451"/>
    </row>
    <row r="499" spans="1:15" x14ac:dyDescent="0.15">
      <c r="A499" s="451"/>
      <c r="B499" s="451"/>
      <c r="C499" s="451"/>
      <c r="D499" s="451"/>
      <c r="E499" s="451"/>
      <c r="F499" s="451"/>
      <c r="G499" s="451"/>
      <c r="H499" s="451"/>
      <c r="I499" s="451"/>
      <c r="J499" s="451"/>
      <c r="K499" s="451"/>
      <c r="L499" s="451"/>
      <c r="M499" s="451"/>
      <c r="N499" s="451"/>
      <c r="O499" s="451"/>
    </row>
    <row r="500" spans="1:15" x14ac:dyDescent="0.15">
      <c r="A500" s="451"/>
      <c r="B500" s="451"/>
      <c r="C500" s="451"/>
      <c r="D500" s="451"/>
      <c r="E500" s="451"/>
      <c r="F500" s="451"/>
      <c r="G500" s="451"/>
      <c r="H500" s="451"/>
      <c r="I500" s="451"/>
      <c r="J500" s="451"/>
      <c r="K500" s="451"/>
      <c r="L500" s="451"/>
      <c r="M500" s="451"/>
      <c r="N500" s="451"/>
      <c r="O500" s="451"/>
    </row>
    <row r="501" spans="1:15" x14ac:dyDescent="0.15">
      <c r="A501" s="451"/>
      <c r="B501" s="451"/>
      <c r="C501" s="451"/>
      <c r="D501" s="451"/>
      <c r="E501" s="451"/>
      <c r="F501" s="451"/>
      <c r="G501" s="451"/>
      <c r="H501" s="451"/>
      <c r="I501" s="451"/>
      <c r="J501" s="451"/>
      <c r="K501" s="451"/>
      <c r="L501" s="451"/>
      <c r="M501" s="451"/>
      <c r="N501" s="451"/>
      <c r="O501" s="451"/>
    </row>
    <row r="502" spans="1:15" x14ac:dyDescent="0.15">
      <c r="A502" s="451"/>
      <c r="B502" s="451"/>
      <c r="C502" s="451"/>
      <c r="D502" s="451"/>
      <c r="E502" s="451"/>
      <c r="F502" s="451"/>
      <c r="G502" s="451"/>
      <c r="H502" s="451"/>
      <c r="I502" s="451"/>
      <c r="J502" s="451"/>
      <c r="K502" s="451"/>
      <c r="L502" s="451"/>
      <c r="M502" s="451"/>
      <c r="N502" s="451"/>
      <c r="O502" s="451"/>
    </row>
    <row r="503" spans="1:15" x14ac:dyDescent="0.15">
      <c r="A503" s="451"/>
      <c r="B503" s="451"/>
      <c r="C503" s="451"/>
      <c r="D503" s="451"/>
      <c r="E503" s="451"/>
      <c r="F503" s="451"/>
      <c r="G503" s="451"/>
      <c r="H503" s="451"/>
      <c r="I503" s="451"/>
      <c r="J503" s="451"/>
      <c r="K503" s="451"/>
      <c r="L503" s="451"/>
      <c r="M503" s="451"/>
      <c r="N503" s="451"/>
      <c r="O503" s="451"/>
    </row>
    <row r="504" spans="1:15" x14ac:dyDescent="0.15">
      <c r="A504" s="451"/>
      <c r="B504" s="451"/>
      <c r="C504" s="451"/>
      <c r="D504" s="451"/>
      <c r="E504" s="451"/>
      <c r="F504" s="451"/>
      <c r="G504" s="451"/>
      <c r="H504" s="451"/>
      <c r="I504" s="451"/>
      <c r="J504" s="451"/>
      <c r="K504" s="451"/>
      <c r="L504" s="451"/>
      <c r="M504" s="451"/>
      <c r="N504" s="451"/>
      <c r="O504" s="451"/>
    </row>
    <row r="505" spans="1:15" x14ac:dyDescent="0.15">
      <c r="A505" s="451"/>
      <c r="B505" s="451"/>
      <c r="C505" s="451"/>
      <c r="D505" s="451"/>
      <c r="E505" s="451"/>
      <c r="F505" s="451"/>
      <c r="G505" s="451"/>
      <c r="H505" s="451"/>
      <c r="I505" s="451"/>
      <c r="J505" s="451"/>
      <c r="K505" s="451"/>
      <c r="L505" s="451"/>
      <c r="M505" s="451"/>
      <c r="N505" s="451"/>
      <c r="O505" s="451"/>
    </row>
    <row r="506" spans="1:15" x14ac:dyDescent="0.15">
      <c r="A506" s="451"/>
      <c r="B506" s="451"/>
      <c r="C506" s="451"/>
      <c r="D506" s="451"/>
      <c r="E506" s="451"/>
      <c r="F506" s="451"/>
      <c r="G506" s="451"/>
      <c r="H506" s="451"/>
      <c r="I506" s="451"/>
      <c r="J506" s="451"/>
      <c r="K506" s="451"/>
      <c r="L506" s="451"/>
      <c r="M506" s="451"/>
      <c r="N506" s="451"/>
      <c r="O506" s="451"/>
    </row>
    <row r="507" spans="1:15" x14ac:dyDescent="0.15">
      <c r="A507" s="451"/>
      <c r="B507" s="451"/>
      <c r="C507" s="451"/>
      <c r="D507" s="451"/>
      <c r="E507" s="451"/>
      <c r="F507" s="451"/>
      <c r="G507" s="451"/>
      <c r="H507" s="451"/>
      <c r="I507" s="451"/>
      <c r="J507" s="451"/>
      <c r="K507" s="451"/>
      <c r="L507" s="451"/>
      <c r="M507" s="451"/>
      <c r="N507" s="451"/>
      <c r="O507" s="451"/>
    </row>
    <row r="508" spans="1:15" x14ac:dyDescent="0.15">
      <c r="A508" s="451"/>
      <c r="B508" s="451"/>
      <c r="C508" s="451"/>
      <c r="D508" s="451"/>
      <c r="E508" s="451"/>
      <c r="F508" s="451"/>
      <c r="G508" s="451"/>
      <c r="H508" s="451"/>
      <c r="I508" s="451"/>
      <c r="J508" s="451"/>
      <c r="K508" s="451"/>
      <c r="L508" s="451"/>
      <c r="M508" s="451"/>
      <c r="N508" s="451"/>
      <c r="O508" s="451"/>
    </row>
    <row r="509" spans="1:15" x14ac:dyDescent="0.15">
      <c r="A509" s="451"/>
      <c r="B509" s="451"/>
      <c r="C509" s="451"/>
      <c r="D509" s="451"/>
      <c r="E509" s="451"/>
      <c r="F509" s="451"/>
      <c r="G509" s="451"/>
      <c r="H509" s="451"/>
      <c r="I509" s="451"/>
      <c r="J509" s="451"/>
      <c r="K509" s="451"/>
      <c r="L509" s="451"/>
      <c r="M509" s="451"/>
      <c r="N509" s="451"/>
      <c r="O509" s="451"/>
    </row>
    <row r="510" spans="1:15" x14ac:dyDescent="0.15">
      <c r="A510" s="451"/>
      <c r="B510" s="451"/>
      <c r="C510" s="451"/>
      <c r="D510" s="451"/>
      <c r="E510" s="451"/>
      <c r="F510" s="451"/>
      <c r="G510" s="451"/>
      <c r="H510" s="451"/>
      <c r="I510" s="451"/>
      <c r="J510" s="451"/>
      <c r="K510" s="451"/>
      <c r="L510" s="451"/>
      <c r="M510" s="451"/>
      <c r="N510" s="451"/>
      <c r="O510" s="451"/>
    </row>
    <row r="511" spans="1:15" x14ac:dyDescent="0.15">
      <c r="A511" s="451"/>
      <c r="B511" s="451"/>
      <c r="C511" s="451"/>
      <c r="D511" s="451"/>
      <c r="E511" s="451"/>
      <c r="F511" s="451"/>
      <c r="G511" s="451"/>
      <c r="H511" s="451"/>
      <c r="I511" s="451"/>
      <c r="J511" s="451"/>
      <c r="K511" s="451"/>
      <c r="L511" s="451"/>
      <c r="M511" s="451"/>
      <c r="N511" s="451"/>
      <c r="O511" s="451"/>
    </row>
    <row r="512" spans="1:15" x14ac:dyDescent="0.15">
      <c r="A512" s="451"/>
      <c r="B512" s="451"/>
      <c r="C512" s="451"/>
      <c r="D512" s="451"/>
      <c r="E512" s="451"/>
      <c r="F512" s="451"/>
      <c r="G512" s="451"/>
      <c r="H512" s="451"/>
      <c r="I512" s="451"/>
      <c r="J512" s="451"/>
      <c r="K512" s="451"/>
      <c r="L512" s="451"/>
      <c r="M512" s="451"/>
      <c r="N512" s="451"/>
      <c r="O512" s="451"/>
    </row>
    <row r="513" spans="1:15" x14ac:dyDescent="0.15">
      <c r="A513" s="451"/>
      <c r="B513" s="451"/>
      <c r="C513" s="451"/>
      <c r="D513" s="451"/>
      <c r="E513" s="451"/>
      <c r="F513" s="451"/>
      <c r="G513" s="451"/>
      <c r="H513" s="451"/>
      <c r="I513" s="451"/>
      <c r="J513" s="451"/>
      <c r="K513" s="451"/>
      <c r="L513" s="451"/>
      <c r="M513" s="451"/>
      <c r="N513" s="451"/>
      <c r="O513" s="451"/>
    </row>
    <row r="514" spans="1:15" x14ac:dyDescent="0.15">
      <c r="A514" s="451"/>
      <c r="B514" s="451"/>
      <c r="C514" s="451"/>
      <c r="D514" s="451"/>
      <c r="E514" s="451"/>
      <c r="F514" s="451"/>
      <c r="G514" s="451"/>
      <c r="H514" s="451"/>
      <c r="I514" s="451"/>
      <c r="J514" s="451"/>
      <c r="K514" s="451"/>
      <c r="L514" s="451"/>
      <c r="M514" s="451"/>
      <c r="N514" s="451"/>
      <c r="O514" s="451"/>
    </row>
    <row r="515" spans="1:15" x14ac:dyDescent="0.15">
      <c r="A515" s="451"/>
      <c r="B515" s="451"/>
      <c r="C515" s="451"/>
      <c r="D515" s="451"/>
      <c r="E515" s="451"/>
      <c r="F515" s="451"/>
      <c r="G515" s="451"/>
      <c r="H515" s="451"/>
      <c r="I515" s="451"/>
      <c r="J515" s="451"/>
      <c r="K515" s="451"/>
      <c r="L515" s="451"/>
      <c r="M515" s="451"/>
      <c r="N515" s="451"/>
      <c r="O515" s="451"/>
    </row>
    <row r="516" spans="1:15" x14ac:dyDescent="0.15">
      <c r="A516" s="451"/>
      <c r="B516" s="451"/>
      <c r="C516" s="451"/>
      <c r="D516" s="451"/>
      <c r="E516" s="451"/>
      <c r="F516" s="451"/>
      <c r="G516" s="451"/>
      <c r="H516" s="451"/>
      <c r="I516" s="451"/>
      <c r="J516" s="451"/>
      <c r="K516" s="451"/>
      <c r="L516" s="451"/>
      <c r="M516" s="451"/>
      <c r="N516" s="451"/>
      <c r="O516" s="451"/>
    </row>
    <row r="517" spans="1:15" x14ac:dyDescent="0.15">
      <c r="A517" s="451"/>
      <c r="B517" s="451"/>
      <c r="C517" s="451"/>
      <c r="D517" s="451"/>
      <c r="E517" s="451"/>
      <c r="F517" s="451"/>
      <c r="G517" s="451"/>
      <c r="H517" s="451"/>
      <c r="I517" s="451"/>
      <c r="J517" s="451"/>
      <c r="K517" s="451"/>
      <c r="L517" s="451"/>
      <c r="M517" s="451"/>
      <c r="N517" s="451"/>
      <c r="O517" s="451"/>
    </row>
    <row r="518" spans="1:15" x14ac:dyDescent="0.15">
      <c r="A518" s="451"/>
      <c r="B518" s="451"/>
      <c r="C518" s="451"/>
      <c r="D518" s="451"/>
      <c r="E518" s="451"/>
      <c r="F518" s="451"/>
      <c r="G518" s="451"/>
      <c r="H518" s="451"/>
      <c r="I518" s="451"/>
      <c r="J518" s="451"/>
      <c r="K518" s="451"/>
      <c r="L518" s="451"/>
      <c r="M518" s="451"/>
      <c r="N518" s="451"/>
      <c r="O518" s="451"/>
    </row>
    <row r="519" spans="1:15" x14ac:dyDescent="0.15">
      <c r="A519" s="451"/>
      <c r="B519" s="451"/>
      <c r="C519" s="451"/>
      <c r="D519" s="451"/>
      <c r="E519" s="451"/>
      <c r="F519" s="451"/>
      <c r="G519" s="451"/>
      <c r="H519" s="451"/>
      <c r="I519" s="451"/>
      <c r="J519" s="451"/>
      <c r="K519" s="451"/>
      <c r="L519" s="451"/>
      <c r="M519" s="451"/>
      <c r="N519" s="451"/>
      <c r="O519" s="451"/>
    </row>
    <row r="520" spans="1:15" x14ac:dyDescent="0.15">
      <c r="A520" s="451"/>
      <c r="B520" s="451"/>
      <c r="C520" s="451"/>
      <c r="D520" s="451"/>
      <c r="E520" s="451"/>
      <c r="F520" s="451"/>
      <c r="G520" s="451"/>
      <c r="H520" s="451"/>
      <c r="I520" s="451"/>
      <c r="J520" s="451"/>
      <c r="K520" s="451"/>
      <c r="L520" s="451"/>
      <c r="M520" s="451"/>
      <c r="N520" s="451"/>
      <c r="O520" s="451"/>
    </row>
    <row r="521" spans="1:15" x14ac:dyDescent="0.15">
      <c r="A521" s="451"/>
      <c r="B521" s="451"/>
      <c r="C521" s="451"/>
      <c r="D521" s="451"/>
      <c r="E521" s="451"/>
      <c r="F521" s="451"/>
      <c r="G521" s="451"/>
      <c r="H521" s="451"/>
      <c r="I521" s="451"/>
      <c r="J521" s="451"/>
      <c r="K521" s="451"/>
      <c r="L521" s="451"/>
      <c r="M521" s="451"/>
      <c r="N521" s="451"/>
      <c r="O521" s="451"/>
    </row>
    <row r="522" spans="1:15" x14ac:dyDescent="0.15">
      <c r="A522" s="451"/>
      <c r="B522" s="451"/>
      <c r="C522" s="451"/>
      <c r="D522" s="451"/>
      <c r="E522" s="451"/>
      <c r="F522" s="451"/>
      <c r="G522" s="451"/>
      <c r="H522" s="451"/>
      <c r="I522" s="451"/>
      <c r="J522" s="451"/>
      <c r="K522" s="451"/>
      <c r="L522" s="451"/>
      <c r="M522" s="451"/>
      <c r="N522" s="451"/>
      <c r="O522" s="451"/>
    </row>
    <row r="523" spans="1:15" x14ac:dyDescent="0.15">
      <c r="A523" s="451"/>
      <c r="B523" s="451"/>
      <c r="C523" s="451"/>
      <c r="D523" s="451"/>
      <c r="E523" s="451"/>
      <c r="F523" s="451"/>
      <c r="G523" s="451"/>
      <c r="H523" s="451"/>
      <c r="I523" s="451"/>
      <c r="J523" s="451"/>
      <c r="K523" s="451"/>
      <c r="L523" s="451"/>
      <c r="M523" s="451"/>
      <c r="N523" s="451"/>
      <c r="O523" s="451"/>
    </row>
    <row r="524" spans="1:15" x14ac:dyDescent="0.15">
      <c r="A524" s="451"/>
      <c r="B524" s="451"/>
      <c r="C524" s="451"/>
      <c r="D524" s="451"/>
      <c r="E524" s="451"/>
      <c r="F524" s="451"/>
      <c r="G524" s="451"/>
      <c r="H524" s="451"/>
      <c r="I524" s="451"/>
      <c r="J524" s="451"/>
      <c r="K524" s="451"/>
      <c r="L524" s="451"/>
      <c r="M524" s="451"/>
      <c r="N524" s="451"/>
      <c r="O524" s="451"/>
    </row>
    <row r="525" spans="1:15" x14ac:dyDescent="0.15">
      <c r="A525" s="451"/>
      <c r="B525" s="451"/>
      <c r="C525" s="451"/>
      <c r="D525" s="451"/>
      <c r="E525" s="451"/>
      <c r="F525" s="451"/>
      <c r="G525" s="451"/>
      <c r="H525" s="451"/>
      <c r="I525" s="451"/>
      <c r="J525" s="451"/>
      <c r="K525" s="451"/>
      <c r="L525" s="451"/>
      <c r="M525" s="451"/>
      <c r="N525" s="451"/>
      <c r="O525" s="451"/>
    </row>
    <row r="526" spans="1:15" x14ac:dyDescent="0.15">
      <c r="A526" s="451"/>
      <c r="B526" s="451"/>
      <c r="C526" s="451"/>
      <c r="D526" s="451"/>
      <c r="E526" s="451"/>
      <c r="F526" s="451"/>
      <c r="G526" s="451"/>
      <c r="H526" s="451"/>
      <c r="I526" s="451"/>
      <c r="J526" s="451"/>
      <c r="K526" s="451"/>
      <c r="L526" s="451"/>
      <c r="M526" s="451"/>
      <c r="N526" s="451"/>
      <c r="O526" s="451"/>
    </row>
    <row r="527" spans="1:15" x14ac:dyDescent="0.15">
      <c r="A527" s="451"/>
      <c r="B527" s="451"/>
      <c r="C527" s="451"/>
      <c r="D527" s="451"/>
      <c r="E527" s="451"/>
      <c r="F527" s="451"/>
      <c r="G527" s="451"/>
      <c r="H527" s="451"/>
      <c r="I527" s="451"/>
      <c r="J527" s="451"/>
      <c r="K527" s="451"/>
      <c r="L527" s="451"/>
      <c r="M527" s="451"/>
      <c r="N527" s="451"/>
      <c r="O527" s="451"/>
    </row>
    <row r="528" spans="1:15" x14ac:dyDescent="0.15">
      <c r="A528" s="451"/>
      <c r="B528" s="451"/>
      <c r="C528" s="451"/>
      <c r="D528" s="451"/>
      <c r="E528" s="451"/>
      <c r="F528" s="451"/>
      <c r="G528" s="451"/>
      <c r="H528" s="451"/>
      <c r="I528" s="451"/>
      <c r="J528" s="451"/>
      <c r="K528" s="451"/>
      <c r="L528" s="451"/>
      <c r="M528" s="451"/>
      <c r="N528" s="451"/>
      <c r="O528" s="451"/>
    </row>
    <row r="529" spans="1:15" x14ac:dyDescent="0.15">
      <c r="A529" s="451"/>
      <c r="B529" s="451"/>
      <c r="C529" s="451"/>
      <c r="D529" s="451"/>
      <c r="E529" s="451"/>
      <c r="F529" s="451"/>
      <c r="G529" s="451"/>
      <c r="H529" s="451"/>
      <c r="I529" s="451"/>
      <c r="J529" s="451"/>
      <c r="K529" s="451"/>
      <c r="L529" s="451"/>
      <c r="M529" s="451"/>
      <c r="N529" s="451"/>
      <c r="O529" s="451"/>
    </row>
    <row r="530" spans="1:15" x14ac:dyDescent="0.15">
      <c r="A530" s="451"/>
      <c r="B530" s="451"/>
      <c r="C530" s="451"/>
      <c r="D530" s="451"/>
      <c r="E530" s="451"/>
      <c r="F530" s="451"/>
      <c r="G530" s="451"/>
      <c r="H530" s="451"/>
      <c r="I530" s="451"/>
      <c r="J530" s="451"/>
      <c r="K530" s="451"/>
      <c r="L530" s="451"/>
      <c r="M530" s="451"/>
      <c r="N530" s="451"/>
      <c r="O530" s="451"/>
    </row>
    <row r="531" spans="1:15" x14ac:dyDescent="0.15">
      <c r="A531" s="451"/>
      <c r="B531" s="451"/>
      <c r="C531" s="451"/>
      <c r="D531" s="451"/>
      <c r="E531" s="451"/>
      <c r="F531" s="451"/>
      <c r="G531" s="451"/>
      <c r="H531" s="451"/>
      <c r="I531" s="451"/>
      <c r="J531" s="451"/>
      <c r="K531" s="451"/>
      <c r="L531" s="451"/>
      <c r="M531" s="451"/>
      <c r="N531" s="451"/>
      <c r="O531" s="451"/>
    </row>
    <row r="532" spans="1:15" x14ac:dyDescent="0.15">
      <c r="A532" s="451"/>
      <c r="B532" s="451"/>
      <c r="C532" s="451"/>
      <c r="D532" s="451"/>
      <c r="E532" s="451"/>
      <c r="F532" s="451"/>
      <c r="G532" s="451"/>
      <c r="H532" s="451"/>
      <c r="I532" s="451"/>
      <c r="J532" s="451"/>
      <c r="K532" s="451"/>
      <c r="L532" s="451"/>
      <c r="M532" s="451"/>
      <c r="N532" s="451"/>
      <c r="O532" s="451"/>
    </row>
    <row r="533" spans="1:15" x14ac:dyDescent="0.15">
      <c r="A533" s="451"/>
      <c r="B533" s="451"/>
      <c r="C533" s="451"/>
      <c r="D533" s="451"/>
      <c r="E533" s="451"/>
      <c r="F533" s="451"/>
      <c r="G533" s="451"/>
      <c r="H533" s="451"/>
      <c r="I533" s="451"/>
      <c r="J533" s="451"/>
      <c r="K533" s="451"/>
      <c r="L533" s="451"/>
      <c r="M533" s="451"/>
      <c r="N533" s="451"/>
      <c r="O533" s="451"/>
    </row>
    <row r="534" spans="1:15" x14ac:dyDescent="0.15">
      <c r="A534" s="451"/>
      <c r="B534" s="451"/>
      <c r="C534" s="451"/>
      <c r="D534" s="451"/>
      <c r="E534" s="451"/>
      <c r="F534" s="451"/>
      <c r="G534" s="451"/>
      <c r="H534" s="451"/>
      <c r="I534" s="451"/>
      <c r="J534" s="451"/>
      <c r="K534" s="451"/>
      <c r="L534" s="451"/>
      <c r="M534" s="451"/>
      <c r="N534" s="451"/>
      <c r="O534" s="451"/>
    </row>
    <row r="535" spans="1:15" x14ac:dyDescent="0.15">
      <c r="A535" s="451"/>
      <c r="B535" s="451"/>
      <c r="C535" s="451"/>
      <c r="D535" s="451"/>
      <c r="E535" s="451"/>
      <c r="F535" s="451"/>
      <c r="G535" s="451"/>
      <c r="H535" s="451"/>
      <c r="I535" s="451"/>
      <c r="J535" s="451"/>
      <c r="K535" s="451"/>
      <c r="L535" s="451"/>
      <c r="M535" s="451"/>
      <c r="N535" s="451"/>
      <c r="O535" s="451"/>
    </row>
    <row r="536" spans="1:15" x14ac:dyDescent="0.15">
      <c r="A536" s="451"/>
      <c r="B536" s="451"/>
      <c r="C536" s="451"/>
      <c r="D536" s="451"/>
      <c r="E536" s="451"/>
      <c r="F536" s="451"/>
      <c r="G536" s="451"/>
      <c r="H536" s="451"/>
      <c r="I536" s="451"/>
      <c r="J536" s="451"/>
      <c r="K536" s="451"/>
      <c r="L536" s="451"/>
      <c r="M536" s="451"/>
      <c r="N536" s="451"/>
      <c r="O536" s="451"/>
    </row>
    <row r="537" spans="1:15" x14ac:dyDescent="0.15">
      <c r="A537" s="451"/>
      <c r="B537" s="451"/>
      <c r="C537" s="451"/>
      <c r="D537" s="451"/>
      <c r="E537" s="451"/>
      <c r="F537" s="451"/>
      <c r="G537" s="451"/>
      <c r="H537" s="451"/>
      <c r="I537" s="451"/>
      <c r="J537" s="451"/>
      <c r="K537" s="451"/>
      <c r="L537" s="451"/>
      <c r="M537" s="451"/>
      <c r="N537" s="451"/>
      <c r="O537" s="451"/>
    </row>
    <row r="538" spans="1:15" x14ac:dyDescent="0.15">
      <c r="A538" s="451"/>
      <c r="B538" s="451"/>
      <c r="C538" s="451"/>
      <c r="D538" s="451"/>
      <c r="E538" s="451"/>
      <c r="F538" s="451"/>
      <c r="G538" s="451"/>
      <c r="H538" s="451"/>
      <c r="I538" s="451"/>
      <c r="J538" s="451"/>
      <c r="K538" s="451"/>
      <c r="L538" s="451"/>
      <c r="M538" s="451"/>
      <c r="N538" s="451"/>
      <c r="O538" s="451"/>
    </row>
    <row r="539" spans="1:15" x14ac:dyDescent="0.15">
      <c r="A539" s="451"/>
      <c r="B539" s="451"/>
      <c r="C539" s="451"/>
      <c r="D539" s="451"/>
      <c r="E539" s="451"/>
      <c r="F539" s="451"/>
      <c r="G539" s="451"/>
      <c r="H539" s="451"/>
      <c r="I539" s="451"/>
      <c r="J539" s="451"/>
      <c r="K539" s="451"/>
      <c r="L539" s="451"/>
      <c r="M539" s="451"/>
      <c r="N539" s="451"/>
      <c r="O539" s="451"/>
    </row>
    <row r="540" spans="1:15" x14ac:dyDescent="0.15">
      <c r="A540" s="451"/>
      <c r="B540" s="451"/>
      <c r="C540" s="451"/>
      <c r="D540" s="451"/>
      <c r="E540" s="451"/>
      <c r="F540" s="451"/>
      <c r="G540" s="451"/>
      <c r="H540" s="451"/>
      <c r="I540" s="451"/>
      <c r="J540" s="451"/>
      <c r="K540" s="451"/>
      <c r="L540" s="451"/>
      <c r="M540" s="451"/>
      <c r="N540" s="451"/>
      <c r="O540" s="451"/>
    </row>
    <row r="541" spans="1:15" x14ac:dyDescent="0.15">
      <c r="A541" s="451"/>
      <c r="B541" s="451"/>
      <c r="C541" s="451"/>
      <c r="D541" s="451"/>
      <c r="E541" s="451"/>
      <c r="F541" s="451"/>
      <c r="G541" s="451"/>
      <c r="H541" s="451"/>
      <c r="I541" s="451"/>
      <c r="J541" s="451"/>
      <c r="K541" s="451"/>
      <c r="L541" s="451"/>
      <c r="M541" s="451"/>
      <c r="N541" s="451"/>
      <c r="O541" s="451"/>
    </row>
    <row r="542" spans="1:15" x14ac:dyDescent="0.15">
      <c r="A542" s="451"/>
      <c r="B542" s="451"/>
      <c r="C542" s="451"/>
      <c r="D542" s="451"/>
      <c r="E542" s="451"/>
      <c r="F542" s="451"/>
      <c r="G542" s="451"/>
      <c r="H542" s="451"/>
      <c r="I542" s="451"/>
      <c r="J542" s="451"/>
      <c r="K542" s="451"/>
      <c r="L542" s="451"/>
      <c r="M542" s="451"/>
      <c r="N542" s="451"/>
      <c r="O542" s="451"/>
    </row>
    <row r="543" spans="1:15" x14ac:dyDescent="0.15">
      <c r="A543" s="451"/>
      <c r="B543" s="451"/>
      <c r="C543" s="451"/>
      <c r="D543" s="451"/>
      <c r="E543" s="451"/>
      <c r="F543" s="451"/>
      <c r="G543" s="451"/>
      <c r="H543" s="451"/>
      <c r="I543" s="451"/>
      <c r="J543" s="451"/>
      <c r="K543" s="451"/>
      <c r="L543" s="451"/>
      <c r="M543" s="451"/>
      <c r="N543" s="451"/>
      <c r="O543" s="451"/>
    </row>
    <row r="544" spans="1:15" x14ac:dyDescent="0.15">
      <c r="A544" s="451"/>
      <c r="B544" s="451"/>
      <c r="C544" s="451"/>
      <c r="D544" s="451"/>
      <c r="E544" s="451"/>
      <c r="F544" s="451"/>
      <c r="G544" s="451"/>
      <c r="H544" s="451"/>
      <c r="I544" s="451"/>
      <c r="J544" s="451"/>
      <c r="K544" s="451"/>
      <c r="L544" s="451"/>
      <c r="M544" s="451"/>
      <c r="N544" s="451"/>
      <c r="O544" s="451"/>
    </row>
    <row r="545" spans="1:15" x14ac:dyDescent="0.15">
      <c r="A545" s="451"/>
      <c r="B545" s="451"/>
      <c r="C545" s="451"/>
      <c r="D545" s="451"/>
      <c r="E545" s="451"/>
      <c r="F545" s="451"/>
      <c r="G545" s="451"/>
      <c r="H545" s="451"/>
      <c r="I545" s="451"/>
      <c r="J545" s="451"/>
      <c r="K545" s="451"/>
      <c r="L545" s="451"/>
      <c r="M545" s="451"/>
      <c r="N545" s="451"/>
      <c r="O545" s="451"/>
    </row>
    <row r="546" spans="1:15" x14ac:dyDescent="0.15">
      <c r="A546" s="451"/>
      <c r="B546" s="451"/>
      <c r="C546" s="451"/>
      <c r="D546" s="451"/>
      <c r="E546" s="451"/>
      <c r="F546" s="451"/>
      <c r="G546" s="451"/>
      <c r="H546" s="451"/>
      <c r="I546" s="451"/>
      <c r="J546" s="451"/>
      <c r="K546" s="451"/>
      <c r="L546" s="451"/>
      <c r="M546" s="451"/>
      <c r="N546" s="451"/>
      <c r="O546" s="451"/>
    </row>
    <row r="547" spans="1:15" x14ac:dyDescent="0.15">
      <c r="A547" s="451"/>
      <c r="B547" s="451"/>
      <c r="C547" s="451"/>
      <c r="D547" s="451"/>
      <c r="E547" s="451"/>
      <c r="F547" s="451"/>
      <c r="G547" s="451"/>
      <c r="H547" s="451"/>
      <c r="I547" s="451"/>
      <c r="J547" s="451"/>
      <c r="K547" s="451"/>
      <c r="L547" s="451"/>
      <c r="M547" s="451"/>
      <c r="N547" s="451"/>
      <c r="O547" s="451"/>
    </row>
    <row r="548" spans="1:15" x14ac:dyDescent="0.15">
      <c r="A548" s="451"/>
      <c r="B548" s="451"/>
      <c r="C548" s="451"/>
      <c r="D548" s="451"/>
      <c r="E548" s="451"/>
      <c r="F548" s="451"/>
      <c r="G548" s="451"/>
      <c r="H548" s="451"/>
      <c r="I548" s="451"/>
      <c r="J548" s="451"/>
      <c r="K548" s="451"/>
      <c r="L548" s="451"/>
      <c r="M548" s="451"/>
      <c r="N548" s="451"/>
      <c r="O548" s="451"/>
    </row>
    <row r="549" spans="1:15" x14ac:dyDescent="0.15">
      <c r="A549" s="451"/>
      <c r="B549" s="451"/>
      <c r="C549" s="451"/>
      <c r="D549" s="451"/>
      <c r="E549" s="451"/>
      <c r="F549" s="451"/>
      <c r="G549" s="451"/>
      <c r="H549" s="451"/>
      <c r="I549" s="451"/>
      <c r="J549" s="451"/>
      <c r="K549" s="451"/>
      <c r="L549" s="451"/>
      <c r="M549" s="451"/>
      <c r="N549" s="451"/>
      <c r="O549" s="451"/>
    </row>
    <row r="550" spans="1:15" x14ac:dyDescent="0.15">
      <c r="A550" s="451"/>
      <c r="B550" s="451"/>
      <c r="C550" s="451"/>
      <c r="D550" s="451"/>
      <c r="E550" s="451"/>
      <c r="F550" s="451"/>
      <c r="G550" s="451"/>
      <c r="H550" s="451"/>
      <c r="I550" s="451"/>
      <c r="J550" s="451"/>
      <c r="K550" s="451"/>
      <c r="L550" s="451"/>
      <c r="M550" s="451"/>
      <c r="N550" s="451"/>
      <c r="O550" s="451"/>
    </row>
    <row r="551" spans="1:15" x14ac:dyDescent="0.15">
      <c r="A551" s="451"/>
      <c r="B551" s="451"/>
      <c r="C551" s="451"/>
      <c r="D551" s="451"/>
      <c r="E551" s="451"/>
      <c r="F551" s="451"/>
      <c r="G551" s="451"/>
      <c r="H551" s="451"/>
      <c r="I551" s="451"/>
      <c r="J551" s="451"/>
      <c r="K551" s="451"/>
      <c r="L551" s="451"/>
      <c r="M551" s="451"/>
      <c r="N551" s="451"/>
      <c r="O551" s="451"/>
    </row>
    <row r="552" spans="1:15" x14ac:dyDescent="0.15">
      <c r="A552" s="451"/>
      <c r="B552" s="451"/>
      <c r="C552" s="451"/>
      <c r="D552" s="451"/>
      <c r="E552" s="451"/>
      <c r="F552" s="451"/>
      <c r="G552" s="451"/>
      <c r="H552" s="451"/>
      <c r="I552" s="451"/>
      <c r="J552" s="451"/>
      <c r="K552" s="451"/>
      <c r="L552" s="451"/>
      <c r="M552" s="451"/>
      <c r="N552" s="451"/>
      <c r="O552" s="451"/>
    </row>
    <row r="553" spans="1:15" x14ac:dyDescent="0.15">
      <c r="A553" s="451"/>
      <c r="B553" s="451"/>
      <c r="C553" s="451"/>
      <c r="D553" s="451"/>
      <c r="E553" s="451"/>
      <c r="F553" s="451"/>
      <c r="G553" s="451"/>
      <c r="H553" s="451"/>
      <c r="I553" s="451"/>
      <c r="J553" s="451"/>
      <c r="K553" s="451"/>
      <c r="L553" s="451"/>
      <c r="M553" s="451"/>
      <c r="N553" s="451"/>
      <c r="O553" s="451"/>
    </row>
    <row r="554" spans="1:15" x14ac:dyDescent="0.15">
      <c r="A554" s="451"/>
      <c r="B554" s="451"/>
      <c r="C554" s="451"/>
      <c r="D554" s="451"/>
      <c r="E554" s="451"/>
      <c r="F554" s="451"/>
      <c r="G554" s="451"/>
      <c r="H554" s="451"/>
      <c r="I554" s="451"/>
      <c r="J554" s="451"/>
      <c r="K554" s="451"/>
      <c r="L554" s="451"/>
      <c r="M554" s="451"/>
      <c r="N554" s="451"/>
      <c r="O554" s="451"/>
    </row>
    <row r="555" spans="1:15" x14ac:dyDescent="0.15">
      <c r="A555" s="451"/>
      <c r="B555" s="451"/>
      <c r="C555" s="451"/>
      <c r="D555" s="451"/>
      <c r="E555" s="451"/>
      <c r="F555" s="451"/>
      <c r="G555" s="451"/>
      <c r="H555" s="451"/>
      <c r="I555" s="451"/>
      <c r="J555" s="451"/>
      <c r="K555" s="451"/>
      <c r="L555" s="451"/>
      <c r="M555" s="451"/>
      <c r="N555" s="451"/>
      <c r="O555" s="451"/>
    </row>
    <row r="556" spans="1:15" x14ac:dyDescent="0.15">
      <c r="A556" s="451"/>
      <c r="B556" s="451"/>
      <c r="C556" s="451"/>
      <c r="D556" s="451"/>
      <c r="E556" s="451"/>
      <c r="F556" s="451"/>
      <c r="G556" s="451"/>
      <c r="H556" s="451"/>
      <c r="I556" s="451"/>
      <c r="J556" s="451"/>
      <c r="K556" s="451"/>
      <c r="L556" s="451"/>
      <c r="M556" s="451"/>
      <c r="N556" s="451"/>
      <c r="O556" s="451"/>
    </row>
    <row r="557" spans="1:15" x14ac:dyDescent="0.15">
      <c r="A557" s="451"/>
      <c r="B557" s="451"/>
      <c r="C557" s="451"/>
      <c r="D557" s="451"/>
      <c r="E557" s="451"/>
      <c r="F557" s="451"/>
      <c r="G557" s="451"/>
      <c r="H557" s="451"/>
      <c r="I557" s="451"/>
      <c r="J557" s="451"/>
      <c r="K557" s="451"/>
      <c r="L557" s="451"/>
      <c r="M557" s="451"/>
      <c r="N557" s="451"/>
      <c r="O557" s="451"/>
    </row>
    <row r="558" spans="1:15" x14ac:dyDescent="0.15">
      <c r="A558" s="451"/>
      <c r="B558" s="451"/>
      <c r="C558" s="451"/>
      <c r="D558" s="451"/>
      <c r="E558" s="451"/>
      <c r="F558" s="451"/>
      <c r="G558" s="451"/>
      <c r="H558" s="451"/>
      <c r="I558" s="451"/>
      <c r="J558" s="451"/>
      <c r="K558" s="451"/>
      <c r="L558" s="451"/>
      <c r="M558" s="451"/>
      <c r="N558" s="451"/>
      <c r="O558" s="451"/>
    </row>
    <row r="559" spans="1:15" x14ac:dyDescent="0.15">
      <c r="A559" s="451"/>
      <c r="B559" s="451"/>
      <c r="C559" s="451"/>
      <c r="D559" s="451"/>
      <c r="E559" s="451"/>
      <c r="F559" s="451"/>
      <c r="G559" s="451"/>
      <c r="H559" s="451"/>
      <c r="I559" s="451"/>
      <c r="J559" s="451"/>
      <c r="K559" s="451"/>
      <c r="L559" s="451"/>
      <c r="M559" s="451"/>
      <c r="N559" s="451"/>
      <c r="O559" s="451"/>
    </row>
    <row r="560" spans="1:15" x14ac:dyDescent="0.15">
      <c r="A560" s="451"/>
      <c r="B560" s="451"/>
      <c r="C560" s="451"/>
      <c r="D560" s="451"/>
      <c r="E560" s="451"/>
      <c r="F560" s="451"/>
      <c r="G560" s="451"/>
      <c r="H560" s="451"/>
      <c r="I560" s="451"/>
      <c r="J560" s="451"/>
      <c r="K560" s="451"/>
      <c r="L560" s="451"/>
      <c r="M560" s="451"/>
      <c r="N560" s="451"/>
      <c r="O560" s="451"/>
    </row>
    <row r="561" spans="1:15" x14ac:dyDescent="0.15">
      <c r="A561" s="451"/>
      <c r="B561" s="451"/>
      <c r="C561" s="451"/>
      <c r="D561" s="451"/>
      <c r="E561" s="451"/>
      <c r="F561" s="451"/>
      <c r="G561" s="451"/>
      <c r="H561" s="451"/>
      <c r="I561" s="451"/>
      <c r="J561" s="451"/>
      <c r="K561" s="451"/>
      <c r="L561" s="451"/>
      <c r="M561" s="451"/>
      <c r="N561" s="451"/>
      <c r="O561" s="451"/>
    </row>
    <row r="562" spans="1:15" x14ac:dyDescent="0.15">
      <c r="A562" s="451"/>
      <c r="B562" s="451"/>
      <c r="C562" s="451"/>
      <c r="D562" s="451"/>
      <c r="E562" s="451"/>
      <c r="F562" s="451"/>
      <c r="G562" s="451"/>
      <c r="H562" s="451"/>
      <c r="I562" s="451"/>
      <c r="J562" s="451"/>
      <c r="K562" s="451"/>
      <c r="L562" s="451"/>
      <c r="M562" s="451"/>
      <c r="N562" s="451"/>
      <c r="O562" s="451"/>
    </row>
    <row r="563" spans="1:15" x14ac:dyDescent="0.15">
      <c r="A563" s="451"/>
      <c r="B563" s="451"/>
      <c r="C563" s="451"/>
      <c r="D563" s="451"/>
      <c r="E563" s="451"/>
      <c r="F563" s="451"/>
      <c r="G563" s="451"/>
      <c r="H563" s="451"/>
      <c r="I563" s="451"/>
      <c r="J563" s="451"/>
      <c r="K563" s="451"/>
      <c r="L563" s="451"/>
      <c r="M563" s="451"/>
      <c r="N563" s="451"/>
      <c r="O563" s="451"/>
    </row>
    <row r="564" spans="1:15" x14ac:dyDescent="0.15">
      <c r="A564" s="451"/>
      <c r="B564" s="451"/>
      <c r="C564" s="451"/>
      <c r="D564" s="451"/>
      <c r="E564" s="451"/>
      <c r="F564" s="451"/>
      <c r="G564" s="451"/>
      <c r="H564" s="451"/>
      <c r="I564" s="451"/>
      <c r="J564" s="451"/>
      <c r="K564" s="451"/>
      <c r="L564" s="451"/>
      <c r="M564" s="451"/>
      <c r="N564" s="451"/>
      <c r="O564" s="451"/>
    </row>
    <row r="565" spans="1:15" x14ac:dyDescent="0.15">
      <c r="A565" s="451"/>
      <c r="B565" s="451"/>
      <c r="C565" s="451"/>
      <c r="D565" s="451"/>
      <c r="E565" s="451"/>
      <c r="F565" s="451"/>
      <c r="G565" s="451"/>
      <c r="H565" s="451"/>
      <c r="I565" s="451"/>
      <c r="J565" s="451"/>
      <c r="K565" s="451"/>
      <c r="L565" s="451"/>
      <c r="M565" s="451"/>
      <c r="N565" s="451"/>
      <c r="O565" s="451"/>
    </row>
    <row r="566" spans="1:15" x14ac:dyDescent="0.15">
      <c r="A566" s="451"/>
      <c r="B566" s="451"/>
      <c r="C566" s="451"/>
      <c r="D566" s="451"/>
      <c r="E566" s="451"/>
      <c r="F566" s="451"/>
      <c r="G566" s="451"/>
      <c r="H566" s="451"/>
      <c r="I566" s="451"/>
      <c r="J566" s="451"/>
      <c r="K566" s="451"/>
      <c r="L566" s="451"/>
      <c r="M566" s="451"/>
      <c r="N566" s="451"/>
      <c r="O566" s="451"/>
    </row>
    <row r="567" spans="1:15" x14ac:dyDescent="0.15">
      <c r="A567" s="451"/>
      <c r="B567" s="451"/>
      <c r="C567" s="451"/>
      <c r="D567" s="451"/>
      <c r="E567" s="451"/>
      <c r="F567" s="451"/>
      <c r="G567" s="451"/>
      <c r="H567" s="451"/>
      <c r="I567" s="451"/>
      <c r="J567" s="451"/>
      <c r="K567" s="451"/>
      <c r="L567" s="451"/>
      <c r="M567" s="451"/>
      <c r="N567" s="451"/>
      <c r="O567" s="451"/>
    </row>
    <row r="568" spans="1:15" x14ac:dyDescent="0.15">
      <c r="A568" s="451"/>
      <c r="B568" s="451"/>
      <c r="C568" s="451"/>
      <c r="D568" s="451"/>
      <c r="E568" s="451"/>
      <c r="F568" s="451"/>
      <c r="G568" s="451"/>
      <c r="H568" s="451"/>
      <c r="I568" s="451"/>
      <c r="J568" s="451"/>
      <c r="K568" s="451"/>
      <c r="L568" s="451"/>
      <c r="M568" s="451"/>
      <c r="N568" s="451"/>
      <c r="O568" s="451"/>
    </row>
    <row r="569" spans="1:15" x14ac:dyDescent="0.15">
      <c r="A569" s="451"/>
      <c r="B569" s="451"/>
      <c r="C569" s="451"/>
      <c r="D569" s="451"/>
      <c r="E569" s="451"/>
      <c r="F569" s="451"/>
      <c r="G569" s="451"/>
      <c r="H569" s="451"/>
      <c r="I569" s="451"/>
      <c r="J569" s="451"/>
      <c r="K569" s="451"/>
      <c r="L569" s="451"/>
      <c r="M569" s="451"/>
      <c r="N569" s="451"/>
      <c r="O569" s="451"/>
    </row>
    <row r="570" spans="1:15" x14ac:dyDescent="0.15">
      <c r="A570" s="451"/>
      <c r="B570" s="451"/>
      <c r="C570" s="451"/>
      <c r="D570" s="451"/>
      <c r="E570" s="451"/>
      <c r="F570" s="451"/>
      <c r="G570" s="451"/>
      <c r="H570" s="451"/>
      <c r="I570" s="451"/>
      <c r="J570" s="451"/>
      <c r="K570" s="451"/>
      <c r="L570" s="451"/>
      <c r="M570" s="451"/>
      <c r="N570" s="451"/>
      <c r="O570" s="451"/>
    </row>
    <row r="571" spans="1:15" x14ac:dyDescent="0.15">
      <c r="A571" s="451"/>
      <c r="B571" s="451"/>
      <c r="C571" s="451"/>
      <c r="D571" s="451"/>
      <c r="E571" s="451"/>
      <c r="F571" s="451"/>
      <c r="G571" s="451"/>
      <c r="H571" s="451"/>
      <c r="I571" s="451"/>
      <c r="J571" s="451"/>
      <c r="K571" s="451"/>
      <c r="L571" s="451"/>
      <c r="M571" s="451"/>
      <c r="N571" s="451"/>
      <c r="O571" s="451"/>
    </row>
    <row r="572" spans="1:15" x14ac:dyDescent="0.15">
      <c r="A572" s="451"/>
      <c r="B572" s="451"/>
      <c r="C572" s="451"/>
      <c r="D572" s="451"/>
      <c r="E572" s="451"/>
      <c r="F572" s="451"/>
      <c r="G572" s="451"/>
      <c r="H572" s="451"/>
      <c r="I572" s="451"/>
      <c r="J572" s="451"/>
      <c r="K572" s="451"/>
      <c r="L572" s="451"/>
      <c r="M572" s="451"/>
      <c r="N572" s="451"/>
      <c r="O572" s="451"/>
    </row>
    <row r="573" spans="1:15" x14ac:dyDescent="0.15">
      <c r="A573" s="451"/>
      <c r="B573" s="451"/>
      <c r="C573" s="451"/>
      <c r="D573" s="451"/>
      <c r="E573" s="451"/>
      <c r="F573" s="451"/>
      <c r="G573" s="451"/>
      <c r="H573" s="451"/>
      <c r="I573" s="451"/>
      <c r="J573" s="451"/>
      <c r="K573" s="451"/>
      <c r="L573" s="451"/>
      <c r="M573" s="451"/>
      <c r="N573" s="451"/>
      <c r="O573" s="451"/>
    </row>
    <row r="574" spans="1:15" x14ac:dyDescent="0.15">
      <c r="A574" s="451"/>
      <c r="B574" s="451"/>
      <c r="C574" s="451"/>
      <c r="D574" s="451"/>
      <c r="E574" s="451"/>
      <c r="F574" s="451"/>
      <c r="G574" s="451"/>
      <c r="H574" s="451"/>
      <c r="I574" s="451"/>
      <c r="J574" s="451"/>
      <c r="K574" s="451"/>
      <c r="L574" s="451"/>
      <c r="M574" s="451"/>
      <c r="N574" s="451"/>
      <c r="O574" s="451"/>
    </row>
    <row r="575" spans="1:15" x14ac:dyDescent="0.15">
      <c r="A575" s="451"/>
      <c r="B575" s="451"/>
      <c r="C575" s="451"/>
      <c r="D575" s="451"/>
      <c r="E575" s="451"/>
      <c r="F575" s="451"/>
      <c r="G575" s="451"/>
      <c r="H575" s="451"/>
      <c r="I575" s="451"/>
      <c r="J575" s="451"/>
      <c r="K575" s="451"/>
      <c r="L575" s="451"/>
      <c r="M575" s="451"/>
      <c r="N575" s="451"/>
      <c r="O575" s="451"/>
    </row>
    <row r="576" spans="1:15" x14ac:dyDescent="0.15">
      <c r="A576" s="451"/>
      <c r="B576" s="451"/>
      <c r="C576" s="451"/>
      <c r="D576" s="451"/>
      <c r="E576" s="451"/>
      <c r="F576" s="451"/>
      <c r="G576" s="451"/>
      <c r="H576" s="451"/>
      <c r="I576" s="451"/>
      <c r="J576" s="451"/>
      <c r="K576" s="451"/>
      <c r="L576" s="451"/>
      <c r="M576" s="451"/>
      <c r="N576" s="451"/>
      <c r="O576" s="451"/>
    </row>
    <row r="577" spans="1:15" x14ac:dyDescent="0.15">
      <c r="A577" s="451"/>
      <c r="B577" s="451"/>
      <c r="C577" s="451"/>
      <c r="D577" s="451"/>
      <c r="E577" s="451"/>
      <c r="F577" s="451"/>
      <c r="G577" s="451"/>
      <c r="H577" s="451"/>
      <c r="I577" s="451"/>
      <c r="J577" s="451"/>
      <c r="K577" s="451"/>
      <c r="L577" s="451"/>
      <c r="M577" s="451"/>
      <c r="N577" s="451"/>
      <c r="O577" s="451"/>
    </row>
    <row r="578" spans="1:15" x14ac:dyDescent="0.15">
      <c r="A578" s="451"/>
      <c r="B578" s="451"/>
      <c r="C578" s="451"/>
      <c r="D578" s="451"/>
      <c r="E578" s="451"/>
      <c r="F578" s="451"/>
      <c r="G578" s="451"/>
      <c r="H578" s="451"/>
      <c r="I578" s="451"/>
      <c r="J578" s="451"/>
      <c r="K578" s="451"/>
      <c r="L578" s="451"/>
      <c r="M578" s="451"/>
      <c r="N578" s="451"/>
      <c r="O578" s="451"/>
    </row>
    <row r="579" spans="1:15" x14ac:dyDescent="0.15">
      <c r="A579" s="451"/>
      <c r="B579" s="451"/>
      <c r="C579" s="451"/>
      <c r="D579" s="451"/>
      <c r="E579" s="451"/>
      <c r="F579" s="451"/>
      <c r="G579" s="451"/>
      <c r="H579" s="451"/>
      <c r="I579" s="451"/>
      <c r="J579" s="451"/>
      <c r="K579" s="451"/>
      <c r="L579" s="451"/>
      <c r="M579" s="451"/>
      <c r="N579" s="451"/>
      <c r="O579" s="451"/>
    </row>
    <row r="580" spans="1:15" x14ac:dyDescent="0.15">
      <c r="A580" s="451"/>
      <c r="B580" s="451"/>
      <c r="C580" s="451"/>
      <c r="D580" s="451"/>
      <c r="E580" s="451"/>
      <c r="F580" s="451"/>
      <c r="G580" s="451"/>
      <c r="H580" s="451"/>
      <c r="I580" s="451"/>
      <c r="J580" s="451"/>
      <c r="K580" s="451"/>
      <c r="L580" s="451"/>
      <c r="M580" s="451"/>
      <c r="N580" s="451"/>
      <c r="O580" s="451"/>
    </row>
    <row r="581" spans="1:15" x14ac:dyDescent="0.15">
      <c r="A581" s="451"/>
      <c r="B581" s="451"/>
      <c r="C581" s="451"/>
      <c r="D581" s="451"/>
      <c r="E581" s="451"/>
      <c r="F581" s="451"/>
      <c r="G581" s="451"/>
      <c r="H581" s="451"/>
      <c r="I581" s="451"/>
      <c r="J581" s="451"/>
      <c r="K581" s="451"/>
      <c r="L581" s="451"/>
      <c r="M581" s="451"/>
      <c r="N581" s="451"/>
      <c r="O581" s="451"/>
    </row>
    <row r="582" spans="1:15" x14ac:dyDescent="0.15">
      <c r="A582" s="451"/>
      <c r="B582" s="451"/>
      <c r="C582" s="451"/>
      <c r="D582" s="451"/>
      <c r="E582" s="451"/>
      <c r="F582" s="451"/>
      <c r="G582" s="451"/>
      <c r="H582" s="451"/>
      <c r="I582" s="451"/>
      <c r="J582" s="451"/>
      <c r="K582" s="451"/>
      <c r="L582" s="451"/>
      <c r="M582" s="451"/>
      <c r="N582" s="451"/>
      <c r="O582" s="451"/>
    </row>
    <row r="583" spans="1:15" x14ac:dyDescent="0.15">
      <c r="A583" s="451"/>
      <c r="B583" s="451"/>
      <c r="C583" s="451"/>
      <c r="D583" s="451"/>
      <c r="E583" s="451"/>
      <c r="F583" s="451"/>
      <c r="G583" s="451"/>
      <c r="H583" s="451"/>
      <c r="I583" s="451"/>
      <c r="J583" s="451"/>
      <c r="K583" s="451"/>
      <c r="L583" s="451"/>
      <c r="M583" s="451"/>
      <c r="N583" s="451"/>
      <c r="O583" s="451"/>
    </row>
    <row r="584" spans="1:15" x14ac:dyDescent="0.15">
      <c r="A584" s="451"/>
      <c r="B584" s="451"/>
      <c r="C584" s="451"/>
      <c r="D584" s="451"/>
      <c r="E584" s="451"/>
      <c r="F584" s="451"/>
      <c r="G584" s="451"/>
      <c r="H584" s="451"/>
      <c r="I584" s="451"/>
      <c r="J584" s="451"/>
      <c r="K584" s="451"/>
      <c r="L584" s="451"/>
      <c r="M584" s="451"/>
      <c r="N584" s="451"/>
      <c r="O584" s="451"/>
    </row>
    <row r="585" spans="1:15" x14ac:dyDescent="0.15">
      <c r="A585" s="451"/>
      <c r="B585" s="451"/>
      <c r="C585" s="451"/>
      <c r="D585" s="451"/>
      <c r="E585" s="451"/>
      <c r="F585" s="451"/>
      <c r="G585" s="451"/>
      <c r="H585" s="451"/>
      <c r="I585" s="451"/>
      <c r="J585" s="451"/>
      <c r="K585" s="451"/>
      <c r="L585" s="451"/>
      <c r="M585" s="451"/>
      <c r="N585" s="451"/>
      <c r="O585" s="451"/>
    </row>
    <row r="586" spans="1:15" x14ac:dyDescent="0.15">
      <c r="A586" s="451"/>
      <c r="B586" s="451"/>
      <c r="C586" s="451"/>
      <c r="D586" s="451"/>
      <c r="E586" s="451"/>
      <c r="F586" s="451"/>
      <c r="G586" s="451"/>
      <c r="H586" s="451"/>
      <c r="I586" s="451"/>
      <c r="J586" s="451"/>
      <c r="K586" s="451"/>
      <c r="L586" s="451"/>
      <c r="M586" s="451"/>
      <c r="N586" s="451"/>
      <c r="O586" s="451"/>
    </row>
    <row r="587" spans="1:15" x14ac:dyDescent="0.15">
      <c r="A587" s="451"/>
      <c r="B587" s="451"/>
      <c r="C587" s="451"/>
      <c r="D587" s="451"/>
      <c r="E587" s="451"/>
      <c r="F587" s="451"/>
      <c r="G587" s="451"/>
      <c r="H587" s="451"/>
      <c r="I587" s="451"/>
      <c r="J587" s="451"/>
      <c r="K587" s="451"/>
      <c r="L587" s="451"/>
      <c r="M587" s="451"/>
      <c r="N587" s="451"/>
      <c r="O587" s="451"/>
    </row>
    <row r="588" spans="1:15" x14ac:dyDescent="0.15">
      <c r="A588" s="451"/>
      <c r="B588" s="451"/>
      <c r="C588" s="451"/>
      <c r="D588" s="451"/>
      <c r="E588" s="451"/>
      <c r="F588" s="451"/>
      <c r="G588" s="451"/>
      <c r="H588" s="451"/>
      <c r="I588" s="451"/>
      <c r="J588" s="451"/>
      <c r="K588" s="451"/>
      <c r="L588" s="451"/>
      <c r="M588" s="451"/>
      <c r="N588" s="451"/>
      <c r="O588" s="451"/>
    </row>
    <row r="589" spans="1:15" x14ac:dyDescent="0.15">
      <c r="A589" s="451"/>
      <c r="B589" s="451"/>
      <c r="C589" s="451"/>
      <c r="D589" s="451"/>
      <c r="E589" s="451"/>
      <c r="F589" s="451"/>
      <c r="G589" s="451"/>
      <c r="H589" s="451"/>
      <c r="I589" s="451"/>
      <c r="J589" s="451"/>
      <c r="K589" s="451"/>
      <c r="L589" s="451"/>
      <c r="M589" s="451"/>
      <c r="N589" s="451"/>
      <c r="O589" s="451"/>
    </row>
    <row r="590" spans="1:15" x14ac:dyDescent="0.15">
      <c r="A590" s="451"/>
      <c r="B590" s="451"/>
      <c r="C590" s="451"/>
      <c r="D590" s="451"/>
      <c r="E590" s="451"/>
      <c r="F590" s="451"/>
      <c r="G590" s="451"/>
      <c r="H590" s="451"/>
      <c r="I590" s="451"/>
      <c r="J590" s="451"/>
      <c r="K590" s="451"/>
      <c r="L590" s="451"/>
      <c r="M590" s="451"/>
      <c r="N590" s="451"/>
      <c r="O590" s="451"/>
    </row>
    <row r="591" spans="1:15" x14ac:dyDescent="0.15">
      <c r="A591" s="451"/>
      <c r="B591" s="451"/>
      <c r="C591" s="451"/>
      <c r="D591" s="451"/>
      <c r="E591" s="451"/>
      <c r="F591" s="451"/>
      <c r="G591" s="451"/>
      <c r="H591" s="451"/>
      <c r="I591" s="451"/>
      <c r="J591" s="451"/>
      <c r="K591" s="451"/>
      <c r="L591" s="451"/>
      <c r="M591" s="451"/>
      <c r="N591" s="451"/>
      <c r="O591" s="451"/>
    </row>
    <row r="592" spans="1:15" x14ac:dyDescent="0.15">
      <c r="A592" s="451"/>
      <c r="B592" s="451"/>
      <c r="C592" s="451"/>
      <c r="D592" s="451"/>
      <c r="E592" s="451"/>
      <c r="F592" s="451"/>
      <c r="G592" s="451"/>
      <c r="H592" s="451"/>
      <c r="I592" s="451"/>
      <c r="J592" s="451"/>
      <c r="K592" s="451"/>
      <c r="L592" s="451"/>
      <c r="M592" s="451"/>
      <c r="N592" s="451"/>
      <c r="O592" s="451"/>
    </row>
    <row r="593" spans="1:15" x14ac:dyDescent="0.15">
      <c r="A593" s="451"/>
      <c r="B593" s="451"/>
      <c r="C593" s="451"/>
      <c r="D593" s="451"/>
      <c r="E593" s="451"/>
      <c r="F593" s="451"/>
      <c r="G593" s="451"/>
      <c r="H593" s="451"/>
      <c r="I593" s="451"/>
      <c r="J593" s="451"/>
      <c r="K593" s="451"/>
      <c r="L593" s="451"/>
      <c r="M593" s="451"/>
      <c r="N593" s="451"/>
      <c r="O593" s="451"/>
    </row>
    <row r="594" spans="1:15" x14ac:dyDescent="0.15">
      <c r="A594" s="451"/>
      <c r="B594" s="451"/>
      <c r="C594" s="451"/>
      <c r="D594" s="451"/>
      <c r="E594" s="451"/>
      <c r="F594" s="451"/>
      <c r="G594" s="451"/>
      <c r="H594" s="451"/>
      <c r="I594" s="451"/>
      <c r="J594" s="451"/>
      <c r="K594" s="451"/>
      <c r="L594" s="451"/>
      <c r="M594" s="451"/>
      <c r="N594" s="451"/>
      <c r="O594" s="451"/>
    </row>
    <row r="595" spans="1:15" x14ac:dyDescent="0.15">
      <c r="A595" s="451"/>
      <c r="B595" s="451"/>
      <c r="C595" s="451"/>
      <c r="D595" s="451"/>
      <c r="E595" s="451"/>
      <c r="F595" s="451"/>
      <c r="G595" s="451"/>
      <c r="H595" s="451"/>
      <c r="I595" s="451"/>
      <c r="J595" s="451"/>
      <c r="K595" s="451"/>
      <c r="L595" s="451"/>
      <c r="M595" s="451"/>
      <c r="N595" s="451"/>
      <c r="O595" s="451"/>
    </row>
    <row r="596" spans="1:15" x14ac:dyDescent="0.15">
      <c r="A596" s="451"/>
      <c r="B596" s="451"/>
      <c r="C596" s="451"/>
      <c r="D596" s="451"/>
      <c r="E596" s="451"/>
      <c r="F596" s="451"/>
      <c r="G596" s="451"/>
      <c r="H596" s="451"/>
      <c r="I596" s="451"/>
      <c r="J596" s="451"/>
      <c r="K596" s="451"/>
      <c r="L596" s="451"/>
      <c r="M596" s="451"/>
      <c r="N596" s="451"/>
      <c r="O596" s="451"/>
    </row>
    <row r="597" spans="1:15" x14ac:dyDescent="0.15">
      <c r="A597" s="451"/>
      <c r="B597" s="451"/>
      <c r="C597" s="451"/>
      <c r="D597" s="451"/>
      <c r="E597" s="451"/>
      <c r="F597" s="451"/>
      <c r="G597" s="451"/>
      <c r="H597" s="451"/>
      <c r="I597" s="451"/>
      <c r="J597" s="451"/>
      <c r="K597" s="451"/>
      <c r="L597" s="451"/>
      <c r="M597" s="451"/>
      <c r="N597" s="451"/>
      <c r="O597" s="451"/>
    </row>
    <row r="598" spans="1:15" x14ac:dyDescent="0.15">
      <c r="A598" s="451"/>
      <c r="B598" s="451"/>
      <c r="C598" s="451"/>
      <c r="D598" s="451"/>
      <c r="E598" s="451"/>
      <c r="F598" s="451"/>
      <c r="G598" s="451"/>
      <c r="H598" s="451"/>
      <c r="I598" s="451"/>
      <c r="J598" s="451"/>
      <c r="K598" s="451"/>
      <c r="L598" s="451"/>
      <c r="M598" s="451"/>
      <c r="N598" s="451"/>
      <c r="O598" s="451"/>
    </row>
    <row r="599" spans="1:15" x14ac:dyDescent="0.15">
      <c r="A599" s="451"/>
      <c r="B599" s="451"/>
      <c r="C599" s="451"/>
      <c r="D599" s="451"/>
      <c r="E599" s="451"/>
      <c r="F599" s="451"/>
      <c r="G599" s="451"/>
      <c r="H599" s="451"/>
      <c r="I599" s="451"/>
      <c r="J599" s="451"/>
      <c r="K599" s="451"/>
      <c r="L599" s="451"/>
      <c r="M599" s="451"/>
      <c r="N599" s="451"/>
      <c r="O599" s="451"/>
    </row>
    <row r="600" spans="1:15" x14ac:dyDescent="0.15">
      <c r="A600" s="451"/>
      <c r="B600" s="451"/>
      <c r="C600" s="451"/>
      <c r="D600" s="451"/>
      <c r="E600" s="451"/>
      <c r="F600" s="451"/>
      <c r="G600" s="451"/>
      <c r="H600" s="451"/>
      <c r="I600" s="451"/>
      <c r="J600" s="451"/>
      <c r="K600" s="451"/>
      <c r="L600" s="451"/>
      <c r="M600" s="451"/>
      <c r="N600" s="451"/>
      <c r="O600" s="451"/>
    </row>
    <row r="601" spans="1:15" x14ac:dyDescent="0.15">
      <c r="A601" s="451"/>
      <c r="B601" s="451"/>
      <c r="C601" s="451"/>
      <c r="D601" s="451"/>
      <c r="E601" s="451"/>
      <c r="F601" s="451"/>
      <c r="G601" s="451"/>
      <c r="H601" s="451"/>
      <c r="I601" s="451"/>
      <c r="J601" s="451"/>
      <c r="K601" s="451"/>
      <c r="L601" s="451"/>
      <c r="M601" s="451"/>
      <c r="N601" s="451"/>
      <c r="O601" s="451"/>
    </row>
    <row r="602" spans="1:15" x14ac:dyDescent="0.15">
      <c r="A602" s="451"/>
      <c r="B602" s="451"/>
      <c r="C602" s="451"/>
      <c r="D602" s="451"/>
      <c r="E602" s="451"/>
      <c r="F602" s="451"/>
      <c r="G602" s="451"/>
      <c r="H602" s="451"/>
      <c r="I602" s="451"/>
      <c r="J602" s="451"/>
      <c r="K602" s="451"/>
      <c r="L602" s="451"/>
      <c r="M602" s="451"/>
      <c r="N602" s="451"/>
      <c r="O602" s="451"/>
    </row>
    <row r="603" spans="1:15" x14ac:dyDescent="0.15">
      <c r="A603" s="451"/>
      <c r="B603" s="451"/>
      <c r="C603" s="451"/>
      <c r="D603" s="451"/>
      <c r="E603" s="451"/>
      <c r="F603" s="451"/>
      <c r="G603" s="451"/>
      <c r="H603" s="451"/>
      <c r="I603" s="451"/>
      <c r="J603" s="451"/>
      <c r="K603" s="451"/>
      <c r="L603" s="451"/>
      <c r="M603" s="451"/>
      <c r="N603" s="451"/>
      <c r="O603" s="451"/>
    </row>
    <row r="604" spans="1:15" x14ac:dyDescent="0.15">
      <c r="A604" s="451"/>
      <c r="B604" s="451"/>
      <c r="C604" s="451"/>
      <c r="D604" s="451"/>
      <c r="E604" s="451"/>
      <c r="F604" s="451"/>
      <c r="G604" s="451"/>
      <c r="H604" s="451"/>
      <c r="I604" s="451"/>
      <c r="J604" s="451"/>
      <c r="K604" s="451"/>
      <c r="L604" s="451"/>
      <c r="M604" s="451"/>
      <c r="N604" s="451"/>
      <c r="O604" s="451"/>
    </row>
    <row r="605" spans="1:15" x14ac:dyDescent="0.15">
      <c r="A605" s="451"/>
      <c r="B605" s="451"/>
      <c r="C605" s="451"/>
      <c r="D605" s="451"/>
      <c r="E605" s="451"/>
      <c r="F605" s="451"/>
      <c r="G605" s="451"/>
      <c r="H605" s="451"/>
      <c r="I605" s="451"/>
      <c r="J605" s="451"/>
      <c r="K605" s="451"/>
      <c r="L605" s="451"/>
      <c r="M605" s="451"/>
      <c r="N605" s="451"/>
      <c r="O605" s="451"/>
    </row>
    <row r="606" spans="1:15" x14ac:dyDescent="0.15">
      <c r="A606" s="451"/>
      <c r="B606" s="451"/>
      <c r="C606" s="451"/>
      <c r="D606" s="451"/>
      <c r="E606" s="451"/>
      <c r="F606" s="451"/>
      <c r="G606" s="451"/>
      <c r="H606" s="451"/>
      <c r="I606" s="451"/>
      <c r="J606" s="451"/>
      <c r="K606" s="451"/>
      <c r="L606" s="451"/>
      <c r="M606" s="451"/>
      <c r="N606" s="451"/>
      <c r="O606" s="451"/>
    </row>
    <row r="607" spans="1:15" x14ac:dyDescent="0.15">
      <c r="A607" s="451"/>
      <c r="B607" s="451"/>
      <c r="C607" s="451"/>
      <c r="D607" s="451"/>
      <c r="E607" s="451"/>
      <c r="F607" s="451"/>
      <c r="G607" s="451"/>
      <c r="H607" s="451"/>
      <c r="I607" s="451"/>
      <c r="J607" s="451"/>
      <c r="K607" s="451"/>
      <c r="L607" s="451"/>
      <c r="M607" s="451"/>
      <c r="N607" s="451"/>
      <c r="O607" s="451"/>
    </row>
    <row r="608" spans="1:15" x14ac:dyDescent="0.15">
      <c r="A608" s="451"/>
      <c r="B608" s="451"/>
      <c r="C608" s="451"/>
      <c r="D608" s="451"/>
      <c r="E608" s="451"/>
      <c r="F608" s="451"/>
      <c r="G608" s="451"/>
      <c r="H608" s="451"/>
      <c r="I608" s="451"/>
      <c r="J608" s="451"/>
      <c r="K608" s="451"/>
      <c r="L608" s="451"/>
      <c r="M608" s="451"/>
      <c r="N608" s="451"/>
      <c r="O608" s="451"/>
    </row>
    <row r="609" spans="1:15" x14ac:dyDescent="0.15">
      <c r="A609" s="451"/>
      <c r="B609" s="451"/>
      <c r="C609" s="451"/>
      <c r="D609" s="451"/>
      <c r="E609" s="451"/>
      <c r="F609" s="451"/>
      <c r="G609" s="451"/>
      <c r="H609" s="451"/>
      <c r="I609" s="451"/>
      <c r="J609" s="451"/>
      <c r="K609" s="451"/>
      <c r="L609" s="451"/>
      <c r="M609" s="451"/>
      <c r="N609" s="451"/>
      <c r="O609" s="451"/>
    </row>
    <row r="610" spans="1:15" x14ac:dyDescent="0.15">
      <c r="A610" s="451"/>
      <c r="B610" s="451"/>
      <c r="C610" s="451"/>
      <c r="D610" s="451"/>
      <c r="E610" s="451"/>
      <c r="F610" s="451"/>
      <c r="G610" s="451"/>
      <c r="H610" s="451"/>
      <c r="I610" s="451"/>
      <c r="J610" s="451"/>
      <c r="K610" s="451"/>
      <c r="L610" s="451"/>
      <c r="M610" s="451"/>
      <c r="N610" s="451"/>
      <c r="O610" s="451"/>
    </row>
    <row r="611" spans="1:15" x14ac:dyDescent="0.15">
      <c r="A611" s="451"/>
      <c r="B611" s="451"/>
      <c r="C611" s="451"/>
      <c r="D611" s="451"/>
      <c r="E611" s="451"/>
      <c r="F611" s="451"/>
      <c r="G611" s="451"/>
      <c r="H611" s="451"/>
      <c r="I611" s="451"/>
      <c r="J611" s="451"/>
      <c r="K611" s="451"/>
      <c r="L611" s="451"/>
      <c r="M611" s="451"/>
      <c r="N611" s="451"/>
      <c r="O611" s="451"/>
    </row>
    <row r="612" spans="1:15" x14ac:dyDescent="0.15">
      <c r="A612" s="451"/>
      <c r="B612" s="451"/>
      <c r="C612" s="451"/>
      <c r="D612" s="451"/>
      <c r="E612" s="451"/>
      <c r="F612" s="451"/>
      <c r="G612" s="451"/>
      <c r="H612" s="451"/>
      <c r="I612" s="451"/>
      <c r="J612" s="451"/>
      <c r="K612" s="451"/>
      <c r="L612" s="451"/>
      <c r="M612" s="451"/>
      <c r="N612" s="451"/>
      <c r="O612" s="451"/>
    </row>
    <row r="613" spans="1:15" x14ac:dyDescent="0.15">
      <c r="A613" s="451"/>
      <c r="B613" s="451"/>
      <c r="C613" s="451"/>
      <c r="D613" s="451"/>
      <c r="E613" s="451"/>
      <c r="F613" s="451"/>
      <c r="G613" s="451"/>
      <c r="H613" s="451"/>
      <c r="I613" s="451"/>
      <c r="J613" s="451"/>
      <c r="K613" s="451"/>
      <c r="L613" s="451"/>
      <c r="M613" s="451"/>
      <c r="N613" s="451"/>
      <c r="O613" s="451"/>
    </row>
    <row r="614" spans="1:15" x14ac:dyDescent="0.15">
      <c r="A614" s="451"/>
      <c r="B614" s="451"/>
      <c r="C614" s="451"/>
      <c r="D614" s="451"/>
      <c r="E614" s="451"/>
      <c r="F614" s="451"/>
      <c r="G614" s="451"/>
      <c r="H614" s="451"/>
      <c r="I614" s="451"/>
      <c r="J614" s="451"/>
      <c r="K614" s="451"/>
      <c r="L614" s="451"/>
      <c r="M614" s="451"/>
      <c r="N614" s="451"/>
      <c r="O614" s="451"/>
    </row>
    <row r="615" spans="1:15" x14ac:dyDescent="0.15">
      <c r="A615" s="451"/>
      <c r="B615" s="451"/>
      <c r="C615" s="451"/>
      <c r="D615" s="451"/>
      <c r="E615" s="451"/>
      <c r="F615" s="451"/>
      <c r="G615" s="451"/>
      <c r="H615" s="451"/>
      <c r="I615" s="451"/>
      <c r="J615" s="451"/>
      <c r="K615" s="451"/>
      <c r="L615" s="451"/>
      <c r="M615" s="451"/>
      <c r="N615" s="451"/>
      <c r="O615" s="451"/>
    </row>
    <row r="616" spans="1:15" x14ac:dyDescent="0.15">
      <c r="A616" s="451"/>
      <c r="B616" s="451"/>
      <c r="C616" s="451"/>
      <c r="D616" s="451"/>
      <c r="E616" s="451"/>
      <c r="F616" s="451"/>
      <c r="G616" s="451"/>
      <c r="H616" s="451"/>
      <c r="I616" s="451"/>
      <c r="J616" s="451"/>
      <c r="K616" s="451"/>
      <c r="L616" s="451"/>
      <c r="M616" s="451"/>
      <c r="N616" s="451"/>
      <c r="O616" s="451"/>
    </row>
    <row r="617" spans="1:15" x14ac:dyDescent="0.15">
      <c r="A617" s="451"/>
      <c r="B617" s="451"/>
      <c r="C617" s="451"/>
      <c r="D617" s="451"/>
      <c r="E617" s="451"/>
      <c r="F617" s="451"/>
      <c r="G617" s="451"/>
      <c r="H617" s="451"/>
      <c r="I617" s="451"/>
      <c r="J617" s="451"/>
      <c r="K617" s="451"/>
      <c r="L617" s="451"/>
      <c r="M617" s="451"/>
      <c r="N617" s="451"/>
      <c r="O617" s="451"/>
    </row>
    <row r="618" spans="1:15" x14ac:dyDescent="0.15">
      <c r="A618" s="451"/>
      <c r="B618" s="451"/>
      <c r="C618" s="451"/>
      <c r="D618" s="451"/>
      <c r="E618" s="451"/>
      <c r="F618" s="451"/>
      <c r="G618" s="451"/>
      <c r="H618" s="451"/>
      <c r="I618" s="451"/>
      <c r="J618" s="451"/>
      <c r="K618" s="451"/>
      <c r="L618" s="451"/>
      <c r="M618" s="451"/>
      <c r="N618" s="451"/>
      <c r="O618" s="451"/>
    </row>
    <row r="619" spans="1:15" x14ac:dyDescent="0.15">
      <c r="A619" s="451"/>
      <c r="B619" s="451"/>
      <c r="C619" s="451"/>
      <c r="D619" s="451"/>
      <c r="E619" s="451"/>
      <c r="F619" s="451"/>
      <c r="G619" s="451"/>
      <c r="H619" s="451"/>
      <c r="I619" s="451"/>
      <c r="J619" s="451"/>
      <c r="K619" s="451"/>
      <c r="L619" s="451"/>
      <c r="M619" s="451"/>
      <c r="N619" s="451"/>
      <c r="O619" s="451"/>
    </row>
    <row r="620" spans="1:15" x14ac:dyDescent="0.15">
      <c r="A620" s="451"/>
      <c r="B620" s="451"/>
      <c r="C620" s="451"/>
      <c r="D620" s="451"/>
      <c r="E620" s="451"/>
      <c r="F620" s="451"/>
      <c r="G620" s="451"/>
      <c r="H620" s="451"/>
      <c r="I620" s="451"/>
      <c r="J620" s="451"/>
      <c r="K620" s="451"/>
      <c r="L620" s="451"/>
      <c r="M620" s="451"/>
      <c r="N620" s="451"/>
      <c r="O620" s="451"/>
    </row>
    <row r="621" spans="1:15" x14ac:dyDescent="0.15">
      <c r="A621" s="451"/>
      <c r="B621" s="451"/>
      <c r="C621" s="451"/>
      <c r="D621" s="451"/>
      <c r="E621" s="451"/>
      <c r="F621" s="451"/>
      <c r="G621" s="451"/>
      <c r="H621" s="451"/>
      <c r="I621" s="451"/>
      <c r="J621" s="451"/>
      <c r="K621" s="451"/>
      <c r="L621" s="451"/>
      <c r="M621" s="451"/>
      <c r="N621" s="451"/>
      <c r="O621" s="451"/>
    </row>
    <row r="622" spans="1:15" x14ac:dyDescent="0.15">
      <c r="A622" s="451"/>
      <c r="B622" s="451"/>
      <c r="C622" s="451"/>
      <c r="D622" s="451"/>
      <c r="E622" s="451"/>
      <c r="F622" s="451"/>
      <c r="G622" s="451"/>
      <c r="H622" s="451"/>
      <c r="I622" s="451"/>
      <c r="J622" s="451"/>
      <c r="K622" s="451"/>
      <c r="L622" s="451"/>
      <c r="M622" s="451"/>
      <c r="N622" s="451"/>
      <c r="O622" s="451"/>
    </row>
    <row r="623" spans="1:15" x14ac:dyDescent="0.15">
      <c r="A623" s="451"/>
      <c r="B623" s="451"/>
      <c r="C623" s="451"/>
      <c r="D623" s="451"/>
      <c r="E623" s="451"/>
      <c r="F623" s="451"/>
      <c r="G623" s="451"/>
      <c r="H623" s="451"/>
      <c r="I623" s="451"/>
      <c r="J623" s="451"/>
      <c r="K623" s="451"/>
      <c r="L623" s="451"/>
      <c r="M623" s="451"/>
      <c r="N623" s="451"/>
      <c r="O623" s="451"/>
    </row>
    <row r="624" spans="1:15" x14ac:dyDescent="0.15">
      <c r="A624" s="451"/>
      <c r="B624" s="451"/>
      <c r="C624" s="451"/>
      <c r="D624" s="451"/>
      <c r="E624" s="451"/>
      <c r="F624" s="451"/>
      <c r="G624" s="451"/>
      <c r="H624" s="451"/>
      <c r="I624" s="451"/>
      <c r="J624" s="451"/>
      <c r="K624" s="451"/>
      <c r="L624" s="451"/>
      <c r="M624" s="451"/>
      <c r="N624" s="451"/>
      <c r="O624" s="451"/>
    </row>
    <row r="625" spans="1:15" x14ac:dyDescent="0.15">
      <c r="A625" s="451"/>
      <c r="B625" s="451"/>
      <c r="C625" s="451"/>
      <c r="D625" s="451"/>
      <c r="E625" s="451"/>
      <c r="F625" s="451"/>
      <c r="G625" s="451"/>
      <c r="H625" s="451"/>
      <c r="I625" s="451"/>
      <c r="J625" s="451"/>
      <c r="K625" s="451"/>
      <c r="L625" s="451"/>
      <c r="M625" s="451"/>
      <c r="N625" s="451"/>
      <c r="O625" s="451"/>
    </row>
    <row r="626" spans="1:15" x14ac:dyDescent="0.15">
      <c r="A626" s="451"/>
      <c r="B626" s="451"/>
      <c r="C626" s="451"/>
      <c r="D626" s="451"/>
      <c r="E626" s="451"/>
      <c r="F626" s="451"/>
      <c r="G626" s="451"/>
      <c r="H626" s="451"/>
      <c r="I626" s="451"/>
      <c r="J626" s="451"/>
      <c r="K626" s="451"/>
      <c r="L626" s="451"/>
      <c r="M626" s="451"/>
      <c r="N626" s="451"/>
      <c r="O626" s="451"/>
    </row>
    <row r="627" spans="1:15" x14ac:dyDescent="0.15">
      <c r="A627" s="451"/>
      <c r="B627" s="451"/>
      <c r="C627" s="451"/>
      <c r="D627" s="451"/>
      <c r="E627" s="451"/>
      <c r="F627" s="451"/>
      <c r="G627" s="451"/>
      <c r="H627" s="451"/>
      <c r="I627" s="451"/>
      <c r="J627" s="451"/>
      <c r="K627" s="451"/>
      <c r="L627" s="451"/>
      <c r="M627" s="451"/>
      <c r="N627" s="451"/>
      <c r="O627" s="451"/>
    </row>
    <row r="628" spans="1:15" x14ac:dyDescent="0.15">
      <c r="A628" s="451"/>
      <c r="B628" s="451"/>
      <c r="C628" s="451"/>
      <c r="D628" s="451"/>
      <c r="E628" s="451"/>
      <c r="F628" s="451"/>
      <c r="G628" s="451"/>
      <c r="H628" s="451"/>
      <c r="I628" s="451"/>
      <c r="J628" s="451"/>
      <c r="K628" s="451"/>
      <c r="L628" s="451"/>
      <c r="M628" s="451"/>
      <c r="N628" s="451"/>
      <c r="O628" s="451"/>
    </row>
    <row r="629" spans="1:15" x14ac:dyDescent="0.15">
      <c r="A629" s="451"/>
      <c r="B629" s="451"/>
      <c r="C629" s="451"/>
      <c r="D629" s="451"/>
      <c r="E629" s="451"/>
      <c r="F629" s="451"/>
      <c r="G629" s="451"/>
      <c r="H629" s="451"/>
      <c r="I629" s="451"/>
      <c r="J629" s="451"/>
      <c r="K629" s="451"/>
      <c r="L629" s="451"/>
      <c r="M629" s="451"/>
      <c r="N629" s="451"/>
      <c r="O629" s="451"/>
    </row>
    <row r="630" spans="1:15" x14ac:dyDescent="0.15">
      <c r="A630" s="451"/>
      <c r="B630" s="451"/>
      <c r="C630" s="451"/>
      <c r="D630" s="451"/>
      <c r="E630" s="451"/>
      <c r="F630" s="451"/>
      <c r="G630" s="451"/>
      <c r="H630" s="451"/>
      <c r="I630" s="451"/>
      <c r="J630" s="451"/>
      <c r="K630" s="451"/>
      <c r="L630" s="451"/>
      <c r="M630" s="451"/>
      <c r="N630" s="451"/>
      <c r="O630" s="451"/>
    </row>
    <row r="631" spans="1:15" x14ac:dyDescent="0.15">
      <c r="A631" s="451"/>
      <c r="B631" s="451"/>
      <c r="C631" s="451"/>
      <c r="D631" s="451"/>
      <c r="E631" s="451"/>
      <c r="F631" s="451"/>
      <c r="G631" s="451"/>
      <c r="H631" s="451"/>
      <c r="I631" s="451"/>
      <c r="J631" s="451"/>
      <c r="K631" s="451"/>
      <c r="L631" s="451"/>
      <c r="M631" s="451"/>
      <c r="N631" s="451"/>
      <c r="O631" s="451"/>
    </row>
    <row r="632" spans="1:15" x14ac:dyDescent="0.15">
      <c r="A632" s="451"/>
      <c r="B632" s="451"/>
      <c r="C632" s="451"/>
      <c r="D632" s="451"/>
      <c r="E632" s="451"/>
      <c r="F632" s="451"/>
      <c r="G632" s="451"/>
      <c r="H632" s="451"/>
      <c r="I632" s="451"/>
      <c r="J632" s="451"/>
      <c r="K632" s="451"/>
      <c r="L632" s="451"/>
      <c r="M632" s="451"/>
      <c r="N632" s="451"/>
      <c r="O632" s="451"/>
    </row>
    <row r="633" spans="1:15" x14ac:dyDescent="0.15">
      <c r="A633" s="451"/>
      <c r="B633" s="451"/>
      <c r="C633" s="451"/>
      <c r="D633" s="451"/>
      <c r="E633" s="451"/>
      <c r="F633" s="451"/>
      <c r="G633" s="451"/>
      <c r="H633" s="451"/>
      <c r="I633" s="451"/>
      <c r="J633" s="451"/>
      <c r="K633" s="451"/>
      <c r="L633" s="451"/>
      <c r="M633" s="451"/>
      <c r="N633" s="451"/>
      <c r="O633" s="451"/>
    </row>
    <row r="634" spans="1:15" x14ac:dyDescent="0.15">
      <c r="A634" s="451"/>
      <c r="B634" s="451"/>
      <c r="C634" s="451"/>
      <c r="D634" s="451"/>
      <c r="E634" s="451"/>
      <c r="F634" s="451"/>
      <c r="G634" s="451"/>
      <c r="H634" s="451"/>
      <c r="I634" s="451"/>
      <c r="J634" s="451"/>
      <c r="K634" s="451"/>
      <c r="L634" s="451"/>
      <c r="M634" s="451"/>
      <c r="N634" s="451"/>
      <c r="O634" s="451"/>
    </row>
    <row r="635" spans="1:15" x14ac:dyDescent="0.15">
      <c r="A635" s="451"/>
      <c r="B635" s="451"/>
      <c r="C635" s="451"/>
      <c r="D635" s="451"/>
      <c r="E635" s="451"/>
      <c r="F635" s="451"/>
      <c r="G635" s="451"/>
      <c r="H635" s="451"/>
      <c r="I635" s="451"/>
      <c r="J635" s="451"/>
      <c r="K635" s="451"/>
      <c r="L635" s="451"/>
      <c r="M635" s="451"/>
      <c r="N635" s="451"/>
      <c r="O635" s="451"/>
    </row>
    <row r="636" spans="1:15" x14ac:dyDescent="0.15">
      <c r="A636" s="451"/>
      <c r="B636" s="451"/>
      <c r="C636" s="451"/>
      <c r="D636" s="451"/>
      <c r="E636" s="451"/>
      <c r="F636" s="451"/>
      <c r="G636" s="451"/>
      <c r="H636" s="451"/>
      <c r="I636" s="451"/>
      <c r="J636" s="451"/>
      <c r="K636" s="451"/>
      <c r="L636" s="451"/>
      <c r="M636" s="451"/>
      <c r="N636" s="451"/>
      <c r="O636" s="451"/>
    </row>
    <row r="637" spans="1:15" x14ac:dyDescent="0.15">
      <c r="A637" s="451"/>
      <c r="B637" s="451"/>
      <c r="C637" s="451"/>
      <c r="D637" s="451"/>
      <c r="E637" s="451"/>
      <c r="F637" s="451"/>
      <c r="G637" s="451"/>
      <c r="H637" s="451"/>
      <c r="I637" s="451"/>
      <c r="J637" s="451"/>
      <c r="K637" s="451"/>
      <c r="L637" s="451"/>
      <c r="M637" s="451"/>
      <c r="N637" s="451"/>
      <c r="O637" s="451"/>
    </row>
    <row r="638" spans="1:15" x14ac:dyDescent="0.15">
      <c r="A638" s="451"/>
      <c r="B638" s="451"/>
      <c r="C638" s="451"/>
      <c r="D638" s="451"/>
      <c r="E638" s="451"/>
      <c r="F638" s="451"/>
      <c r="G638" s="451"/>
      <c r="H638" s="451"/>
      <c r="I638" s="451"/>
      <c r="J638" s="451"/>
      <c r="K638" s="451"/>
      <c r="L638" s="451"/>
      <c r="M638" s="451"/>
      <c r="N638" s="451"/>
      <c r="O638" s="451"/>
    </row>
    <row r="639" spans="1:15" x14ac:dyDescent="0.15">
      <c r="A639" s="451"/>
      <c r="B639" s="451"/>
      <c r="C639" s="451"/>
      <c r="D639" s="451"/>
      <c r="E639" s="451"/>
      <c r="F639" s="451"/>
      <c r="G639" s="451"/>
      <c r="H639" s="451"/>
      <c r="I639" s="451"/>
      <c r="J639" s="451"/>
      <c r="K639" s="451"/>
      <c r="L639" s="451"/>
      <c r="M639" s="451"/>
      <c r="N639" s="451"/>
      <c r="O639" s="451"/>
    </row>
    <row r="640" spans="1:15" x14ac:dyDescent="0.15">
      <c r="A640" s="451"/>
      <c r="B640" s="451"/>
      <c r="C640" s="451"/>
      <c r="D640" s="451"/>
      <c r="E640" s="451"/>
      <c r="F640" s="451"/>
      <c r="G640" s="451"/>
      <c r="H640" s="451"/>
      <c r="I640" s="451"/>
      <c r="J640" s="451"/>
      <c r="K640" s="451"/>
      <c r="L640" s="451"/>
      <c r="M640" s="451"/>
      <c r="N640" s="451"/>
      <c r="O640" s="451"/>
    </row>
    <row r="641" spans="1:15" x14ac:dyDescent="0.15">
      <c r="A641" s="451"/>
      <c r="B641" s="451"/>
      <c r="C641" s="451"/>
      <c r="D641" s="451"/>
      <c r="E641" s="451"/>
      <c r="F641" s="451"/>
      <c r="G641" s="451"/>
      <c r="H641" s="451"/>
      <c r="I641" s="451"/>
      <c r="J641" s="451"/>
      <c r="K641" s="451"/>
      <c r="L641" s="451"/>
      <c r="M641" s="451"/>
      <c r="N641" s="451"/>
      <c r="O641" s="451"/>
    </row>
    <row r="642" spans="1:15" x14ac:dyDescent="0.15">
      <c r="A642" s="451"/>
      <c r="B642" s="451"/>
      <c r="C642" s="451"/>
      <c r="D642" s="451"/>
      <c r="E642" s="451"/>
      <c r="F642" s="451"/>
      <c r="G642" s="451"/>
      <c r="H642" s="451"/>
      <c r="I642" s="451"/>
      <c r="J642" s="451"/>
      <c r="K642" s="451"/>
      <c r="L642" s="451"/>
      <c r="M642" s="451"/>
      <c r="N642" s="451"/>
      <c r="O642" s="451"/>
    </row>
    <row r="643" spans="1:15" x14ac:dyDescent="0.15">
      <c r="A643" s="451"/>
      <c r="B643" s="451"/>
      <c r="C643" s="451"/>
      <c r="D643" s="451"/>
      <c r="E643" s="451"/>
      <c r="F643" s="451"/>
      <c r="G643" s="451"/>
      <c r="H643" s="451"/>
      <c r="I643" s="451"/>
      <c r="J643" s="451"/>
      <c r="K643" s="451"/>
      <c r="L643" s="451"/>
      <c r="M643" s="451"/>
      <c r="N643" s="451"/>
      <c r="O643" s="451"/>
    </row>
    <row r="644" spans="1:15" x14ac:dyDescent="0.15">
      <c r="A644" s="451"/>
      <c r="B644" s="451"/>
      <c r="C644" s="451"/>
      <c r="D644" s="451"/>
      <c r="E644" s="451"/>
      <c r="F644" s="451"/>
      <c r="G644" s="451"/>
      <c r="H644" s="451"/>
      <c r="I644" s="451"/>
      <c r="J644" s="451"/>
      <c r="K644" s="451"/>
      <c r="L644" s="451"/>
      <c r="M644" s="451"/>
      <c r="N644" s="451"/>
      <c r="O644" s="451"/>
    </row>
    <row r="645" spans="1:15" x14ac:dyDescent="0.15">
      <c r="A645" s="451"/>
      <c r="B645" s="451"/>
      <c r="C645" s="451"/>
      <c r="D645" s="451"/>
      <c r="E645" s="451"/>
      <c r="F645" s="451"/>
      <c r="G645" s="451"/>
      <c r="H645" s="451"/>
      <c r="I645" s="451"/>
      <c r="J645" s="451"/>
      <c r="K645" s="451"/>
      <c r="L645" s="451"/>
      <c r="M645" s="451"/>
      <c r="N645" s="451"/>
      <c r="O645" s="451"/>
    </row>
    <row r="646" spans="1:15" x14ac:dyDescent="0.15">
      <c r="A646" s="451"/>
      <c r="B646" s="451"/>
      <c r="C646" s="451"/>
      <c r="D646" s="451"/>
      <c r="E646" s="451"/>
      <c r="F646" s="451"/>
      <c r="G646" s="451"/>
      <c r="H646" s="451"/>
      <c r="I646" s="451"/>
      <c r="J646" s="451"/>
      <c r="K646" s="451"/>
      <c r="L646" s="451"/>
      <c r="M646" s="451"/>
      <c r="N646" s="451"/>
      <c r="O646" s="451"/>
    </row>
    <row r="647" spans="1:15" x14ac:dyDescent="0.15">
      <c r="A647" s="451"/>
      <c r="B647" s="451"/>
      <c r="C647" s="451"/>
      <c r="D647" s="451"/>
      <c r="E647" s="451"/>
      <c r="F647" s="451"/>
      <c r="G647" s="451"/>
      <c r="H647" s="451"/>
      <c r="I647" s="451"/>
      <c r="J647" s="451"/>
      <c r="K647" s="451"/>
      <c r="L647" s="451"/>
      <c r="M647" s="451"/>
      <c r="N647" s="451"/>
      <c r="O647" s="451"/>
    </row>
    <row r="648" spans="1:15" x14ac:dyDescent="0.15">
      <c r="A648" s="451"/>
      <c r="B648" s="451"/>
      <c r="C648" s="451"/>
      <c r="D648" s="451"/>
      <c r="E648" s="451"/>
      <c r="F648" s="451"/>
      <c r="G648" s="451"/>
      <c r="H648" s="451"/>
      <c r="I648" s="451"/>
      <c r="J648" s="451"/>
      <c r="K648" s="451"/>
      <c r="L648" s="451"/>
      <c r="M648" s="451"/>
      <c r="N648" s="451"/>
      <c r="O648" s="451"/>
    </row>
    <row r="649" spans="1:15" x14ac:dyDescent="0.15">
      <c r="A649" s="451"/>
      <c r="B649" s="451"/>
      <c r="C649" s="451"/>
      <c r="D649" s="451"/>
      <c r="E649" s="451"/>
      <c r="F649" s="451"/>
      <c r="G649" s="451"/>
      <c r="H649" s="451"/>
      <c r="I649" s="451"/>
      <c r="J649" s="451"/>
      <c r="K649" s="451"/>
      <c r="L649" s="451"/>
      <c r="M649" s="451"/>
      <c r="N649" s="451"/>
      <c r="O649" s="451"/>
    </row>
    <row r="650" spans="1:15" x14ac:dyDescent="0.15">
      <c r="A650" s="451"/>
      <c r="B650" s="451"/>
      <c r="C650" s="451"/>
      <c r="D650" s="451"/>
      <c r="E650" s="451"/>
      <c r="F650" s="451"/>
      <c r="G650" s="451"/>
      <c r="H650" s="451"/>
      <c r="I650" s="451"/>
      <c r="J650" s="451"/>
      <c r="K650" s="451"/>
      <c r="L650" s="451"/>
      <c r="M650" s="451"/>
      <c r="N650" s="451"/>
      <c r="O650" s="451"/>
    </row>
    <row r="651" spans="1:15" x14ac:dyDescent="0.15">
      <c r="A651" s="451"/>
      <c r="B651" s="451"/>
      <c r="C651" s="451"/>
      <c r="D651" s="451"/>
      <c r="E651" s="451"/>
      <c r="F651" s="451"/>
      <c r="G651" s="451"/>
      <c r="H651" s="451"/>
      <c r="I651" s="451"/>
      <c r="J651" s="451"/>
      <c r="K651" s="451"/>
      <c r="L651" s="451"/>
      <c r="M651" s="451"/>
      <c r="N651" s="451"/>
      <c r="O651" s="451"/>
    </row>
    <row r="652" spans="1:15" x14ac:dyDescent="0.15">
      <c r="A652" s="451"/>
      <c r="B652" s="451"/>
      <c r="C652" s="451"/>
      <c r="D652" s="451"/>
      <c r="E652" s="451"/>
      <c r="F652" s="451"/>
      <c r="G652" s="451"/>
      <c r="H652" s="451"/>
      <c r="I652" s="451"/>
      <c r="J652" s="451"/>
      <c r="K652" s="451"/>
      <c r="L652" s="451"/>
      <c r="M652" s="451"/>
      <c r="N652" s="451"/>
      <c r="O652" s="451"/>
    </row>
    <row r="653" spans="1:15" x14ac:dyDescent="0.15">
      <c r="A653" s="451"/>
      <c r="B653" s="451"/>
      <c r="C653" s="451"/>
      <c r="D653" s="451"/>
      <c r="E653" s="451"/>
      <c r="F653" s="451"/>
      <c r="G653" s="451"/>
      <c r="H653" s="451"/>
      <c r="I653" s="451"/>
      <c r="J653" s="451"/>
      <c r="K653" s="451"/>
      <c r="L653" s="451"/>
      <c r="M653" s="451"/>
      <c r="N653" s="451"/>
      <c r="O653" s="451"/>
    </row>
    <row r="654" spans="1:15" x14ac:dyDescent="0.15">
      <c r="A654" s="451"/>
      <c r="B654" s="451"/>
      <c r="C654" s="451"/>
      <c r="D654" s="451"/>
      <c r="E654" s="451"/>
      <c r="F654" s="451"/>
      <c r="G654" s="451"/>
      <c r="H654" s="451"/>
      <c r="I654" s="451"/>
      <c r="J654" s="451"/>
      <c r="K654" s="451"/>
      <c r="L654" s="451"/>
      <c r="M654" s="451"/>
      <c r="N654" s="451"/>
      <c r="O654" s="451"/>
    </row>
    <row r="655" spans="1:15" x14ac:dyDescent="0.15">
      <c r="A655" s="451"/>
      <c r="B655" s="451"/>
      <c r="C655" s="451"/>
      <c r="D655" s="451"/>
      <c r="E655" s="451"/>
      <c r="F655" s="451"/>
      <c r="G655" s="451"/>
      <c r="H655" s="451"/>
      <c r="I655" s="451"/>
      <c r="J655" s="451"/>
      <c r="K655" s="451"/>
      <c r="L655" s="451"/>
      <c r="M655" s="451"/>
      <c r="N655" s="451"/>
      <c r="O655" s="451"/>
    </row>
    <row r="656" spans="1:15" x14ac:dyDescent="0.15">
      <c r="A656" s="451"/>
      <c r="B656" s="451"/>
      <c r="C656" s="451"/>
      <c r="D656" s="451"/>
      <c r="E656" s="451"/>
      <c r="F656" s="451"/>
      <c r="G656" s="451"/>
      <c r="H656" s="451"/>
      <c r="I656" s="451"/>
      <c r="J656" s="451"/>
      <c r="K656" s="451"/>
      <c r="L656" s="451"/>
      <c r="M656" s="451"/>
      <c r="N656" s="451"/>
      <c r="O656" s="451"/>
    </row>
    <row r="657" spans="1:15" x14ac:dyDescent="0.15">
      <c r="A657" s="451"/>
      <c r="B657" s="451"/>
      <c r="C657" s="451"/>
      <c r="D657" s="451"/>
      <c r="E657" s="451"/>
      <c r="F657" s="451"/>
      <c r="G657" s="451"/>
      <c r="H657" s="451"/>
      <c r="I657" s="451"/>
      <c r="J657" s="451"/>
      <c r="K657" s="451"/>
      <c r="L657" s="451"/>
      <c r="M657" s="451"/>
      <c r="N657" s="451"/>
      <c r="O657" s="451"/>
    </row>
    <row r="658" spans="1:15" x14ac:dyDescent="0.15">
      <c r="A658" s="451"/>
      <c r="B658" s="451"/>
      <c r="C658" s="451"/>
      <c r="D658" s="451"/>
      <c r="E658" s="451"/>
      <c r="F658" s="451"/>
      <c r="G658" s="451"/>
      <c r="H658" s="451"/>
      <c r="I658" s="451"/>
      <c r="J658" s="451"/>
      <c r="K658" s="451"/>
      <c r="L658" s="451"/>
      <c r="M658" s="451"/>
      <c r="N658" s="451"/>
      <c r="O658" s="451"/>
    </row>
    <row r="659" spans="1:15" x14ac:dyDescent="0.15">
      <c r="A659" s="451"/>
      <c r="B659" s="451"/>
      <c r="C659" s="451"/>
      <c r="D659" s="451"/>
      <c r="E659" s="451"/>
      <c r="F659" s="451"/>
      <c r="G659" s="451"/>
      <c r="H659" s="451"/>
      <c r="I659" s="451"/>
      <c r="J659" s="451"/>
      <c r="K659" s="451"/>
      <c r="L659" s="451"/>
      <c r="M659" s="451"/>
      <c r="N659" s="451"/>
      <c r="O659" s="451"/>
    </row>
    <row r="660" spans="1:15" x14ac:dyDescent="0.15">
      <c r="A660" s="451"/>
      <c r="B660" s="451"/>
      <c r="C660" s="451"/>
      <c r="D660" s="451"/>
      <c r="E660" s="451"/>
      <c r="F660" s="451"/>
      <c r="G660" s="451"/>
      <c r="H660" s="451"/>
      <c r="I660" s="451"/>
      <c r="J660" s="451"/>
      <c r="K660" s="451"/>
      <c r="L660" s="451"/>
      <c r="M660" s="451"/>
      <c r="N660" s="451"/>
      <c r="O660" s="451"/>
    </row>
    <row r="661" spans="1:15" x14ac:dyDescent="0.15">
      <c r="A661" s="451"/>
      <c r="B661" s="451"/>
      <c r="C661" s="451"/>
      <c r="D661" s="451"/>
      <c r="E661" s="451"/>
      <c r="F661" s="451"/>
      <c r="G661" s="451"/>
      <c r="H661" s="451"/>
      <c r="I661" s="451"/>
      <c r="J661" s="451"/>
      <c r="K661" s="451"/>
      <c r="L661" s="451"/>
      <c r="M661" s="451"/>
      <c r="N661" s="451"/>
      <c r="O661" s="451"/>
    </row>
    <row r="662" spans="1:15" x14ac:dyDescent="0.15">
      <c r="A662" s="451"/>
      <c r="B662" s="451"/>
      <c r="C662" s="451"/>
      <c r="D662" s="451"/>
      <c r="E662" s="451"/>
      <c r="F662" s="451"/>
      <c r="G662" s="451"/>
      <c r="H662" s="451"/>
      <c r="I662" s="451"/>
      <c r="J662" s="451"/>
      <c r="K662" s="451"/>
      <c r="L662" s="451"/>
      <c r="M662" s="451"/>
      <c r="N662" s="451"/>
      <c r="O662" s="451"/>
    </row>
    <row r="663" spans="1:15" x14ac:dyDescent="0.15">
      <c r="A663" s="451"/>
      <c r="B663" s="451"/>
      <c r="C663" s="451"/>
      <c r="D663" s="451"/>
      <c r="E663" s="451"/>
      <c r="F663" s="451"/>
      <c r="G663" s="451"/>
      <c r="H663" s="451"/>
      <c r="I663" s="451"/>
      <c r="J663" s="451"/>
      <c r="K663" s="451"/>
      <c r="L663" s="451"/>
      <c r="M663" s="451"/>
      <c r="N663" s="451"/>
      <c r="O663" s="451"/>
    </row>
    <row r="664" spans="1:15" x14ac:dyDescent="0.15">
      <c r="A664" s="451"/>
      <c r="B664" s="451"/>
      <c r="C664" s="451"/>
      <c r="D664" s="451"/>
      <c r="E664" s="451"/>
      <c r="F664" s="451"/>
      <c r="G664" s="451"/>
      <c r="H664" s="451"/>
      <c r="I664" s="451"/>
      <c r="J664" s="451"/>
      <c r="K664" s="451"/>
      <c r="L664" s="451"/>
      <c r="M664" s="451"/>
      <c r="N664" s="451"/>
      <c r="O664" s="451"/>
    </row>
    <row r="665" spans="1:15" x14ac:dyDescent="0.15">
      <c r="A665" s="451"/>
      <c r="B665" s="451"/>
      <c r="C665" s="451"/>
      <c r="D665" s="451"/>
      <c r="E665" s="451"/>
      <c r="F665" s="451"/>
      <c r="G665" s="451"/>
      <c r="H665" s="451"/>
      <c r="I665" s="451"/>
      <c r="J665" s="451"/>
      <c r="K665" s="451"/>
      <c r="L665" s="451"/>
      <c r="M665" s="451"/>
      <c r="N665" s="451"/>
      <c r="O665" s="451"/>
    </row>
    <row r="666" spans="1:15" x14ac:dyDescent="0.15">
      <c r="A666" s="451"/>
      <c r="B666" s="451"/>
      <c r="C666" s="451"/>
      <c r="D666" s="451"/>
      <c r="E666" s="451"/>
      <c r="F666" s="451"/>
      <c r="G666" s="451"/>
      <c r="H666" s="451"/>
      <c r="I666" s="451"/>
      <c r="J666" s="451"/>
      <c r="K666" s="451"/>
      <c r="L666" s="451"/>
      <c r="M666" s="451"/>
      <c r="N666" s="451"/>
      <c r="O666" s="451"/>
    </row>
    <row r="667" spans="1:15" x14ac:dyDescent="0.15">
      <c r="A667" s="451"/>
      <c r="B667" s="451"/>
      <c r="C667" s="451"/>
      <c r="D667" s="451"/>
      <c r="E667" s="451"/>
      <c r="F667" s="451"/>
      <c r="G667" s="451"/>
      <c r="H667" s="451"/>
      <c r="I667" s="451"/>
      <c r="J667" s="451"/>
      <c r="K667" s="451"/>
      <c r="L667" s="451"/>
      <c r="M667" s="451"/>
      <c r="N667" s="451"/>
      <c r="O667" s="451"/>
    </row>
    <row r="668" spans="1:15" x14ac:dyDescent="0.15">
      <c r="A668" s="451"/>
      <c r="B668" s="451"/>
      <c r="C668" s="451"/>
      <c r="D668" s="451"/>
      <c r="E668" s="451"/>
      <c r="F668" s="451"/>
      <c r="G668" s="451"/>
      <c r="H668" s="451"/>
      <c r="I668" s="451"/>
      <c r="J668" s="451"/>
      <c r="K668" s="451"/>
      <c r="L668" s="451"/>
      <c r="M668" s="451"/>
      <c r="N668" s="451"/>
      <c r="O668" s="451"/>
    </row>
    <row r="669" spans="1:15" x14ac:dyDescent="0.15">
      <c r="A669" s="451"/>
      <c r="B669" s="451"/>
      <c r="C669" s="451"/>
      <c r="D669" s="451"/>
      <c r="E669" s="451"/>
      <c r="F669" s="451"/>
      <c r="G669" s="451"/>
      <c r="H669" s="451"/>
      <c r="I669" s="451"/>
      <c r="J669" s="451"/>
      <c r="K669" s="451"/>
      <c r="L669" s="451"/>
      <c r="M669" s="451"/>
      <c r="N669" s="451"/>
      <c r="O669" s="451"/>
    </row>
    <row r="670" spans="1:15" x14ac:dyDescent="0.15">
      <c r="A670" s="451"/>
      <c r="B670" s="451"/>
      <c r="C670" s="451"/>
      <c r="D670" s="451"/>
      <c r="E670" s="451"/>
      <c r="F670" s="451"/>
      <c r="G670" s="451"/>
      <c r="H670" s="451"/>
      <c r="I670" s="451"/>
      <c r="J670" s="451"/>
      <c r="K670" s="451"/>
      <c r="L670" s="451"/>
      <c r="M670" s="451"/>
      <c r="N670" s="451"/>
      <c r="O670" s="451"/>
    </row>
    <row r="671" spans="1:15" x14ac:dyDescent="0.15">
      <c r="A671" s="451"/>
      <c r="B671" s="451"/>
      <c r="C671" s="451"/>
      <c r="D671" s="451"/>
      <c r="E671" s="451"/>
      <c r="F671" s="451"/>
      <c r="G671" s="451"/>
      <c r="H671" s="451"/>
      <c r="I671" s="451"/>
      <c r="J671" s="451"/>
      <c r="K671" s="451"/>
      <c r="L671" s="451"/>
      <c r="M671" s="451"/>
      <c r="N671" s="451"/>
      <c r="O671" s="451"/>
    </row>
    <row r="672" spans="1:15" x14ac:dyDescent="0.15">
      <c r="A672" s="451"/>
      <c r="B672" s="451"/>
      <c r="C672" s="451"/>
      <c r="D672" s="451"/>
      <c r="E672" s="451"/>
      <c r="F672" s="451"/>
      <c r="G672" s="451"/>
      <c r="H672" s="451"/>
      <c r="I672" s="451"/>
      <c r="J672" s="451"/>
      <c r="K672" s="451"/>
      <c r="L672" s="451"/>
      <c r="M672" s="451"/>
      <c r="N672" s="451"/>
      <c r="O672" s="451"/>
    </row>
    <row r="673" spans="1:15" x14ac:dyDescent="0.15">
      <c r="A673" s="451"/>
      <c r="B673" s="451"/>
      <c r="C673" s="451"/>
      <c r="D673" s="451"/>
      <c r="E673" s="451"/>
      <c r="F673" s="451"/>
      <c r="G673" s="451"/>
      <c r="H673" s="451"/>
      <c r="I673" s="451"/>
      <c r="J673" s="451"/>
      <c r="K673" s="451"/>
      <c r="L673" s="451"/>
      <c r="M673" s="451"/>
      <c r="N673" s="451"/>
      <c r="O673" s="451"/>
    </row>
    <row r="674" spans="1:15" x14ac:dyDescent="0.15">
      <c r="A674" s="451"/>
      <c r="B674" s="451"/>
      <c r="C674" s="451"/>
      <c r="D674" s="451"/>
      <c r="E674" s="451"/>
      <c r="F674" s="451"/>
      <c r="G674" s="451"/>
      <c r="H674" s="451"/>
      <c r="I674" s="451"/>
      <c r="J674" s="451"/>
      <c r="K674" s="451"/>
      <c r="L674" s="451"/>
      <c r="M674" s="451"/>
      <c r="N674" s="451"/>
      <c r="O674" s="451"/>
    </row>
    <row r="675" spans="1:15" x14ac:dyDescent="0.15">
      <c r="A675" s="451"/>
      <c r="B675" s="451"/>
      <c r="C675" s="451"/>
      <c r="D675" s="451"/>
      <c r="E675" s="451"/>
      <c r="F675" s="451"/>
      <c r="G675" s="451"/>
      <c r="H675" s="451"/>
      <c r="I675" s="451"/>
      <c r="J675" s="451"/>
      <c r="K675" s="451"/>
      <c r="L675" s="451"/>
      <c r="M675" s="451"/>
      <c r="N675" s="451"/>
      <c r="O675" s="451"/>
    </row>
    <row r="676" spans="1:15" x14ac:dyDescent="0.15">
      <c r="A676" s="451"/>
      <c r="B676" s="451"/>
      <c r="C676" s="451"/>
      <c r="D676" s="451"/>
      <c r="E676" s="451"/>
      <c r="F676" s="451"/>
      <c r="G676" s="451"/>
      <c r="H676" s="451"/>
      <c r="I676" s="451"/>
      <c r="J676" s="451"/>
      <c r="K676" s="451"/>
      <c r="L676" s="451"/>
      <c r="M676" s="451"/>
      <c r="N676" s="451"/>
      <c r="O676" s="451"/>
    </row>
    <row r="677" spans="1:15" x14ac:dyDescent="0.15">
      <c r="A677" s="451"/>
      <c r="B677" s="451"/>
      <c r="C677" s="451"/>
      <c r="D677" s="451"/>
      <c r="E677" s="451"/>
      <c r="F677" s="451"/>
      <c r="G677" s="451"/>
      <c r="H677" s="451"/>
      <c r="I677" s="451"/>
      <c r="J677" s="451"/>
      <c r="K677" s="451"/>
      <c r="L677" s="451"/>
      <c r="M677" s="451"/>
      <c r="N677" s="451"/>
      <c r="O677" s="451"/>
    </row>
    <row r="678" spans="1:15" x14ac:dyDescent="0.15">
      <c r="A678" s="451"/>
      <c r="B678" s="451"/>
      <c r="C678" s="451"/>
      <c r="D678" s="451"/>
      <c r="E678" s="451"/>
      <c r="F678" s="451"/>
      <c r="G678" s="451"/>
      <c r="H678" s="451"/>
      <c r="I678" s="451"/>
      <c r="J678" s="451"/>
      <c r="K678" s="451"/>
      <c r="L678" s="451"/>
      <c r="M678" s="451"/>
      <c r="N678" s="451"/>
      <c r="O678" s="451"/>
    </row>
    <row r="679" spans="1:15" x14ac:dyDescent="0.15">
      <c r="A679" s="451"/>
      <c r="B679" s="451"/>
      <c r="C679" s="451"/>
      <c r="D679" s="451"/>
      <c r="E679" s="451"/>
      <c r="F679" s="451"/>
      <c r="G679" s="451"/>
      <c r="H679" s="451"/>
      <c r="I679" s="451"/>
      <c r="J679" s="451"/>
      <c r="K679" s="451"/>
      <c r="L679" s="451"/>
      <c r="M679" s="451"/>
      <c r="N679" s="451"/>
      <c r="O679" s="451"/>
    </row>
    <row r="680" spans="1:15" x14ac:dyDescent="0.15">
      <c r="A680" s="451"/>
      <c r="B680" s="451"/>
      <c r="C680" s="451"/>
      <c r="D680" s="451"/>
      <c r="E680" s="451"/>
      <c r="F680" s="451"/>
      <c r="G680" s="451"/>
      <c r="H680" s="451"/>
      <c r="I680" s="451"/>
      <c r="J680" s="451"/>
      <c r="K680" s="451"/>
      <c r="L680" s="451"/>
      <c r="M680" s="451"/>
      <c r="N680" s="451"/>
      <c r="O680" s="451"/>
    </row>
    <row r="681" spans="1:15" x14ac:dyDescent="0.15">
      <c r="A681" s="451"/>
      <c r="B681" s="451"/>
      <c r="C681" s="451"/>
      <c r="D681" s="451"/>
      <c r="E681" s="451"/>
      <c r="F681" s="451"/>
      <c r="G681" s="451"/>
      <c r="H681" s="451"/>
      <c r="I681" s="451"/>
      <c r="J681" s="451"/>
      <c r="K681" s="451"/>
      <c r="L681" s="451"/>
      <c r="M681" s="451"/>
      <c r="N681" s="451"/>
      <c r="O681" s="451"/>
    </row>
    <row r="682" spans="1:15" x14ac:dyDescent="0.15">
      <c r="A682" s="451"/>
      <c r="B682" s="451"/>
      <c r="C682" s="451"/>
      <c r="D682" s="451"/>
      <c r="E682" s="451"/>
      <c r="F682" s="451"/>
      <c r="G682" s="451"/>
      <c r="H682" s="451"/>
      <c r="I682" s="451"/>
      <c r="J682" s="451"/>
      <c r="K682" s="451"/>
      <c r="L682" s="451"/>
      <c r="M682" s="451"/>
      <c r="N682" s="451"/>
      <c r="O682" s="451"/>
    </row>
    <row r="683" spans="1:15" x14ac:dyDescent="0.15">
      <c r="A683" s="451"/>
      <c r="B683" s="451"/>
      <c r="C683" s="451"/>
      <c r="D683" s="451"/>
      <c r="E683" s="451"/>
      <c r="F683" s="451"/>
      <c r="G683" s="451"/>
      <c r="H683" s="451"/>
      <c r="I683" s="451"/>
      <c r="J683" s="451"/>
      <c r="K683" s="451"/>
      <c r="L683" s="451"/>
      <c r="M683" s="451"/>
      <c r="N683" s="451"/>
      <c r="O683" s="451"/>
    </row>
    <row r="684" spans="1:15" x14ac:dyDescent="0.15">
      <c r="A684" s="451"/>
      <c r="B684" s="451"/>
      <c r="C684" s="451"/>
      <c r="D684" s="451"/>
      <c r="E684" s="451"/>
      <c r="F684" s="451"/>
      <c r="G684" s="451"/>
      <c r="H684" s="451"/>
      <c r="I684" s="451"/>
      <c r="J684" s="451"/>
      <c r="K684" s="451"/>
      <c r="L684" s="451"/>
      <c r="M684" s="451"/>
      <c r="N684" s="451"/>
      <c r="O684" s="451"/>
    </row>
    <row r="685" spans="1:15" x14ac:dyDescent="0.15">
      <c r="A685" s="451"/>
      <c r="B685" s="451"/>
      <c r="C685" s="451"/>
      <c r="D685" s="451"/>
      <c r="E685" s="451"/>
      <c r="F685" s="451"/>
      <c r="G685" s="451"/>
      <c r="H685" s="451"/>
      <c r="I685" s="451"/>
      <c r="J685" s="451"/>
      <c r="K685" s="451"/>
      <c r="L685" s="451"/>
      <c r="M685" s="451"/>
      <c r="N685" s="451"/>
      <c r="O685" s="451"/>
    </row>
    <row r="686" spans="1:15" x14ac:dyDescent="0.15">
      <c r="A686" s="451"/>
      <c r="B686" s="451"/>
      <c r="C686" s="451"/>
      <c r="D686" s="451"/>
      <c r="E686" s="451"/>
      <c r="F686" s="451"/>
      <c r="G686" s="451"/>
      <c r="H686" s="451"/>
      <c r="I686" s="451"/>
      <c r="J686" s="451"/>
      <c r="K686" s="451"/>
      <c r="L686" s="451"/>
      <c r="M686" s="451"/>
      <c r="N686" s="451"/>
      <c r="O686" s="451"/>
    </row>
    <row r="687" spans="1:15" x14ac:dyDescent="0.15">
      <c r="A687" s="451"/>
      <c r="B687" s="451"/>
      <c r="C687" s="451"/>
      <c r="D687" s="451"/>
      <c r="E687" s="451"/>
      <c r="F687" s="451"/>
      <c r="G687" s="451"/>
      <c r="H687" s="451"/>
      <c r="I687" s="451"/>
      <c r="J687" s="451"/>
      <c r="K687" s="451"/>
      <c r="L687" s="451"/>
      <c r="M687" s="451"/>
      <c r="N687" s="451"/>
      <c r="O687" s="451"/>
    </row>
    <row r="688" spans="1:15" x14ac:dyDescent="0.15">
      <c r="A688" s="451"/>
      <c r="B688" s="451"/>
      <c r="C688" s="451"/>
      <c r="D688" s="451"/>
      <c r="E688" s="451"/>
      <c r="F688" s="451"/>
      <c r="G688" s="451"/>
      <c r="H688" s="451"/>
      <c r="I688" s="451"/>
      <c r="J688" s="451"/>
      <c r="K688" s="451"/>
      <c r="L688" s="451"/>
      <c r="M688" s="451"/>
      <c r="N688" s="451"/>
      <c r="O688" s="451"/>
    </row>
    <row r="689" spans="1:15" x14ac:dyDescent="0.15">
      <c r="A689" s="451"/>
      <c r="B689" s="451"/>
      <c r="C689" s="451"/>
      <c r="D689" s="451"/>
      <c r="E689" s="451"/>
      <c r="F689" s="451"/>
      <c r="G689" s="451"/>
      <c r="H689" s="451"/>
      <c r="I689" s="451"/>
      <c r="J689" s="451"/>
      <c r="K689" s="451"/>
      <c r="L689" s="451"/>
      <c r="M689" s="451"/>
      <c r="N689" s="451"/>
      <c r="O689" s="451"/>
    </row>
    <row r="690" spans="1:15" x14ac:dyDescent="0.15">
      <c r="A690" s="451"/>
      <c r="B690" s="451"/>
      <c r="C690" s="451"/>
      <c r="D690" s="451"/>
      <c r="E690" s="451"/>
      <c r="F690" s="451"/>
      <c r="G690" s="451"/>
      <c r="H690" s="451"/>
      <c r="I690" s="451"/>
      <c r="J690" s="451"/>
      <c r="K690" s="451"/>
      <c r="L690" s="451"/>
      <c r="M690" s="451"/>
      <c r="N690" s="451"/>
      <c r="O690" s="451"/>
    </row>
    <row r="691" spans="1:15" x14ac:dyDescent="0.15">
      <c r="A691" s="451"/>
      <c r="B691" s="451"/>
      <c r="C691" s="451"/>
      <c r="D691" s="451"/>
      <c r="E691" s="451"/>
      <c r="F691" s="451"/>
      <c r="G691" s="451"/>
      <c r="H691" s="451"/>
      <c r="I691" s="451"/>
      <c r="J691" s="451"/>
      <c r="K691" s="451"/>
      <c r="L691" s="451"/>
      <c r="M691" s="451"/>
      <c r="N691" s="451"/>
      <c r="O691" s="451"/>
    </row>
    <row r="692" spans="1:15" x14ac:dyDescent="0.15">
      <c r="A692" s="451"/>
      <c r="B692" s="451"/>
      <c r="C692" s="451"/>
      <c r="D692" s="451"/>
      <c r="E692" s="451"/>
      <c r="F692" s="451"/>
      <c r="G692" s="451"/>
      <c r="H692" s="451"/>
      <c r="I692" s="451"/>
      <c r="J692" s="451"/>
      <c r="K692" s="451"/>
      <c r="L692" s="451"/>
      <c r="M692" s="451"/>
      <c r="N692" s="451"/>
      <c r="O692" s="451"/>
    </row>
    <row r="693" spans="1:15" x14ac:dyDescent="0.15">
      <c r="A693" s="451"/>
      <c r="B693" s="451"/>
      <c r="C693" s="451"/>
      <c r="D693" s="451"/>
      <c r="E693" s="451"/>
      <c r="F693" s="451"/>
      <c r="G693" s="451"/>
      <c r="H693" s="451"/>
      <c r="I693" s="451"/>
      <c r="J693" s="451"/>
      <c r="K693" s="451"/>
      <c r="L693" s="451"/>
      <c r="M693" s="451"/>
      <c r="N693" s="451"/>
      <c r="O693" s="451"/>
    </row>
    <row r="694" spans="1:15" x14ac:dyDescent="0.15">
      <c r="A694" s="451"/>
      <c r="B694" s="451"/>
      <c r="C694" s="451"/>
      <c r="D694" s="451"/>
      <c r="E694" s="451"/>
      <c r="F694" s="451"/>
      <c r="G694" s="451"/>
      <c r="H694" s="451"/>
      <c r="I694" s="451"/>
      <c r="J694" s="451"/>
      <c r="K694" s="451"/>
      <c r="L694" s="451"/>
      <c r="M694" s="451"/>
      <c r="N694" s="451"/>
      <c r="O694" s="451"/>
    </row>
    <row r="695" spans="1:15" x14ac:dyDescent="0.15">
      <c r="A695" s="451"/>
      <c r="B695" s="451"/>
      <c r="C695" s="451"/>
      <c r="D695" s="451"/>
      <c r="E695" s="451"/>
      <c r="F695" s="451"/>
      <c r="G695" s="451"/>
      <c r="H695" s="451"/>
      <c r="I695" s="451"/>
      <c r="J695" s="451"/>
      <c r="K695" s="451"/>
      <c r="L695" s="451"/>
      <c r="M695" s="451"/>
      <c r="N695" s="451"/>
      <c r="O695" s="451"/>
    </row>
    <row r="696" spans="1:15" x14ac:dyDescent="0.15">
      <c r="A696" s="451"/>
      <c r="B696" s="451"/>
      <c r="C696" s="451"/>
      <c r="D696" s="451"/>
      <c r="E696" s="451"/>
      <c r="F696" s="451"/>
      <c r="G696" s="451"/>
      <c r="H696" s="451"/>
      <c r="I696" s="451"/>
      <c r="J696" s="451"/>
      <c r="K696" s="451"/>
      <c r="L696" s="451"/>
      <c r="M696" s="451"/>
      <c r="N696" s="451"/>
      <c r="O696" s="451"/>
    </row>
    <row r="697" spans="1:15" x14ac:dyDescent="0.15">
      <c r="A697" s="451"/>
      <c r="B697" s="451"/>
      <c r="C697" s="451"/>
      <c r="D697" s="451"/>
      <c r="E697" s="451"/>
      <c r="F697" s="451"/>
      <c r="G697" s="451"/>
      <c r="H697" s="451"/>
      <c r="I697" s="451"/>
      <c r="J697" s="451"/>
      <c r="K697" s="451"/>
      <c r="L697" s="451"/>
      <c r="M697" s="451"/>
      <c r="N697" s="451"/>
      <c r="O697" s="451"/>
    </row>
    <row r="698" spans="1:15" x14ac:dyDescent="0.15">
      <c r="A698" s="451"/>
      <c r="B698" s="451"/>
      <c r="C698" s="451"/>
      <c r="D698" s="451"/>
      <c r="E698" s="451"/>
      <c r="F698" s="451"/>
      <c r="G698" s="451"/>
      <c r="H698" s="451"/>
      <c r="I698" s="451"/>
      <c r="J698" s="451"/>
      <c r="K698" s="451"/>
      <c r="L698" s="451"/>
      <c r="M698" s="451"/>
      <c r="N698" s="451"/>
      <c r="O698" s="451"/>
    </row>
    <row r="699" spans="1:15" x14ac:dyDescent="0.15">
      <c r="A699" s="451"/>
      <c r="B699" s="451"/>
      <c r="C699" s="451"/>
      <c r="D699" s="451"/>
      <c r="E699" s="451"/>
      <c r="F699" s="451"/>
      <c r="G699" s="451"/>
      <c r="H699" s="451"/>
      <c r="I699" s="451"/>
      <c r="J699" s="451"/>
      <c r="K699" s="451"/>
      <c r="L699" s="451"/>
      <c r="M699" s="451"/>
      <c r="N699" s="451"/>
      <c r="O699" s="451"/>
    </row>
    <row r="700" spans="1:15" x14ac:dyDescent="0.15">
      <c r="A700" s="451"/>
      <c r="B700" s="451"/>
      <c r="C700" s="451"/>
      <c r="D700" s="451"/>
      <c r="E700" s="451"/>
      <c r="F700" s="451"/>
      <c r="G700" s="451"/>
      <c r="H700" s="451"/>
      <c r="I700" s="451"/>
      <c r="J700" s="451"/>
      <c r="K700" s="451"/>
      <c r="L700" s="451"/>
      <c r="M700" s="451"/>
      <c r="N700" s="451"/>
      <c r="O700" s="451"/>
    </row>
    <row r="701" spans="1:15" x14ac:dyDescent="0.15">
      <c r="A701" s="451"/>
      <c r="B701" s="451"/>
      <c r="C701" s="451"/>
      <c r="D701" s="451"/>
      <c r="E701" s="451"/>
      <c r="F701" s="451"/>
      <c r="G701" s="451"/>
      <c r="H701" s="451"/>
      <c r="I701" s="451"/>
      <c r="J701" s="451"/>
      <c r="K701" s="451"/>
      <c r="L701" s="451"/>
      <c r="M701" s="451"/>
      <c r="N701" s="451"/>
      <c r="O701" s="451"/>
    </row>
    <row r="702" spans="1:15" x14ac:dyDescent="0.15">
      <c r="A702" s="451"/>
      <c r="B702" s="451"/>
      <c r="C702" s="451"/>
      <c r="D702" s="451"/>
      <c r="E702" s="451"/>
      <c r="F702" s="451"/>
      <c r="G702" s="451"/>
      <c r="H702" s="451"/>
      <c r="I702" s="451"/>
      <c r="J702" s="451"/>
      <c r="K702" s="451"/>
      <c r="L702" s="451"/>
      <c r="M702" s="451"/>
      <c r="N702" s="451"/>
      <c r="O702" s="451"/>
    </row>
    <row r="703" spans="1:15" x14ac:dyDescent="0.15">
      <c r="A703" s="451"/>
      <c r="B703" s="451"/>
      <c r="C703" s="451"/>
      <c r="D703" s="451"/>
      <c r="E703" s="451"/>
      <c r="F703" s="451"/>
      <c r="G703" s="451"/>
      <c r="H703" s="451"/>
      <c r="I703" s="451"/>
      <c r="J703" s="451"/>
      <c r="K703" s="451"/>
      <c r="L703" s="451"/>
      <c r="M703" s="451"/>
      <c r="N703" s="451"/>
      <c r="O703" s="451"/>
    </row>
    <row r="704" spans="1:15" x14ac:dyDescent="0.15">
      <c r="A704" s="451"/>
      <c r="B704" s="451"/>
      <c r="C704" s="451"/>
      <c r="D704" s="451"/>
      <c r="E704" s="451"/>
      <c r="F704" s="451"/>
      <c r="G704" s="451"/>
      <c r="H704" s="451"/>
      <c r="I704" s="451"/>
      <c r="J704" s="451"/>
      <c r="K704" s="451"/>
      <c r="L704" s="451"/>
      <c r="M704" s="451"/>
      <c r="N704" s="451"/>
      <c r="O704" s="451"/>
    </row>
    <row r="705" spans="1:15" x14ac:dyDescent="0.15">
      <c r="A705" s="451"/>
      <c r="B705" s="451"/>
      <c r="C705" s="451"/>
      <c r="D705" s="451"/>
      <c r="E705" s="451"/>
      <c r="F705" s="451"/>
      <c r="G705" s="451"/>
      <c r="H705" s="451"/>
      <c r="I705" s="451"/>
      <c r="J705" s="451"/>
      <c r="K705" s="451"/>
      <c r="L705" s="451"/>
      <c r="M705" s="451"/>
      <c r="N705" s="451"/>
      <c r="O705" s="451"/>
    </row>
    <row r="706" spans="1:15" x14ac:dyDescent="0.15">
      <c r="A706" s="451"/>
      <c r="B706" s="451"/>
      <c r="C706" s="451"/>
      <c r="D706" s="451"/>
      <c r="E706" s="451"/>
      <c r="F706" s="451"/>
      <c r="G706" s="451"/>
      <c r="H706" s="451"/>
      <c r="I706" s="451"/>
      <c r="J706" s="451"/>
      <c r="K706" s="451"/>
      <c r="L706" s="451"/>
      <c r="M706" s="451"/>
      <c r="N706" s="451"/>
      <c r="O706" s="451"/>
    </row>
    <row r="707" spans="1:15" x14ac:dyDescent="0.15">
      <c r="A707" s="451"/>
      <c r="B707" s="451"/>
      <c r="C707" s="451"/>
      <c r="D707" s="451"/>
      <c r="E707" s="451"/>
      <c r="F707" s="451"/>
      <c r="G707" s="451"/>
      <c r="H707" s="451"/>
      <c r="I707" s="451"/>
      <c r="J707" s="451"/>
      <c r="K707" s="451"/>
      <c r="L707" s="451"/>
      <c r="M707" s="451"/>
      <c r="N707" s="451"/>
      <c r="O707" s="451"/>
    </row>
    <row r="708" spans="1:15" x14ac:dyDescent="0.15">
      <c r="A708" s="451"/>
      <c r="B708" s="451"/>
      <c r="C708" s="451"/>
      <c r="D708" s="451"/>
      <c r="E708" s="451"/>
      <c r="F708" s="451"/>
      <c r="G708" s="451"/>
      <c r="H708" s="451"/>
      <c r="I708" s="451"/>
      <c r="J708" s="451"/>
      <c r="K708" s="451"/>
      <c r="L708" s="451"/>
      <c r="M708" s="451"/>
      <c r="N708" s="451"/>
      <c r="O708" s="451"/>
    </row>
    <row r="709" spans="1:15" x14ac:dyDescent="0.15">
      <c r="A709" s="451"/>
      <c r="B709" s="451"/>
      <c r="C709" s="451"/>
      <c r="D709" s="451"/>
      <c r="E709" s="451"/>
      <c r="F709" s="451"/>
      <c r="G709" s="451"/>
      <c r="H709" s="451"/>
      <c r="I709" s="451"/>
      <c r="J709" s="451"/>
      <c r="K709" s="451"/>
      <c r="L709" s="451"/>
      <c r="M709" s="451"/>
      <c r="N709" s="451"/>
      <c r="O709" s="451"/>
    </row>
    <row r="710" spans="1:15" x14ac:dyDescent="0.15">
      <c r="A710" s="451"/>
      <c r="B710" s="451"/>
      <c r="C710" s="451"/>
      <c r="D710" s="451"/>
      <c r="E710" s="451"/>
      <c r="F710" s="451"/>
      <c r="G710" s="451"/>
      <c r="H710" s="451"/>
      <c r="I710" s="451"/>
      <c r="J710" s="451"/>
      <c r="K710" s="451"/>
      <c r="L710" s="451"/>
      <c r="M710" s="451"/>
      <c r="N710" s="451"/>
      <c r="O710" s="451"/>
    </row>
    <row r="711" spans="1:15" x14ac:dyDescent="0.15">
      <c r="A711" s="451"/>
      <c r="B711" s="451"/>
      <c r="C711" s="451"/>
      <c r="D711" s="451"/>
      <c r="E711" s="451"/>
      <c r="F711" s="451"/>
      <c r="G711" s="451"/>
      <c r="H711" s="451"/>
      <c r="I711" s="451"/>
      <c r="J711" s="451"/>
      <c r="K711" s="451"/>
      <c r="L711" s="451"/>
      <c r="M711" s="451"/>
      <c r="N711" s="451"/>
      <c r="O711" s="451"/>
    </row>
    <row r="712" spans="1:15" x14ac:dyDescent="0.15">
      <c r="A712" s="451"/>
      <c r="B712" s="451"/>
      <c r="C712" s="451"/>
      <c r="D712" s="451"/>
      <c r="E712" s="451"/>
      <c r="F712" s="451"/>
      <c r="G712" s="451"/>
      <c r="H712" s="451"/>
      <c r="I712" s="451"/>
      <c r="J712" s="451"/>
      <c r="K712" s="451"/>
      <c r="L712" s="451"/>
      <c r="M712" s="451"/>
      <c r="N712" s="451"/>
      <c r="O712" s="451"/>
    </row>
    <row r="713" spans="1:15" x14ac:dyDescent="0.15">
      <c r="A713" s="451"/>
      <c r="B713" s="451"/>
      <c r="C713" s="451"/>
      <c r="D713" s="451"/>
      <c r="E713" s="451"/>
      <c r="F713" s="451"/>
      <c r="G713" s="451"/>
      <c r="H713" s="451"/>
      <c r="I713" s="451"/>
      <c r="J713" s="451"/>
      <c r="K713" s="451"/>
      <c r="L713" s="451"/>
      <c r="M713" s="451"/>
      <c r="N713" s="451"/>
      <c r="O713" s="451"/>
    </row>
    <row r="714" spans="1:15" x14ac:dyDescent="0.15">
      <c r="A714" s="451"/>
      <c r="B714" s="451"/>
      <c r="C714" s="451"/>
      <c r="D714" s="451"/>
      <c r="E714" s="451"/>
      <c r="F714" s="451"/>
      <c r="G714" s="451"/>
      <c r="H714" s="451"/>
      <c r="I714" s="451"/>
      <c r="J714" s="451"/>
      <c r="K714" s="451"/>
      <c r="L714" s="451"/>
      <c r="M714" s="451"/>
      <c r="N714" s="451"/>
      <c r="O714" s="451"/>
    </row>
    <row r="715" spans="1:15" x14ac:dyDescent="0.15">
      <c r="A715" s="451"/>
      <c r="B715" s="451"/>
      <c r="C715" s="451"/>
      <c r="D715" s="451"/>
      <c r="E715" s="451"/>
      <c r="F715" s="451"/>
      <c r="G715" s="451"/>
      <c r="H715" s="451"/>
      <c r="I715" s="451"/>
      <c r="J715" s="451"/>
      <c r="K715" s="451"/>
      <c r="L715" s="451"/>
      <c r="M715" s="451"/>
      <c r="N715" s="451"/>
      <c r="O715" s="451"/>
    </row>
    <row r="716" spans="1:15" x14ac:dyDescent="0.15">
      <c r="A716" s="451"/>
      <c r="B716" s="451"/>
      <c r="C716" s="451"/>
      <c r="D716" s="451"/>
      <c r="E716" s="451"/>
      <c r="F716" s="451"/>
      <c r="G716" s="451"/>
      <c r="H716" s="451"/>
      <c r="I716" s="451"/>
      <c r="J716" s="451"/>
      <c r="K716" s="451"/>
      <c r="L716" s="451"/>
      <c r="M716" s="451"/>
      <c r="N716" s="451"/>
      <c r="O716" s="451"/>
    </row>
    <row r="717" spans="1:15" x14ac:dyDescent="0.15">
      <c r="A717" s="451"/>
      <c r="B717" s="451"/>
      <c r="C717" s="451"/>
      <c r="D717" s="451"/>
      <c r="E717" s="451"/>
      <c r="F717" s="451"/>
      <c r="G717" s="451"/>
      <c r="H717" s="451"/>
      <c r="I717" s="451"/>
      <c r="J717" s="451"/>
      <c r="K717" s="451"/>
      <c r="L717" s="451"/>
      <c r="M717" s="451"/>
      <c r="N717" s="451"/>
      <c r="O717" s="451"/>
    </row>
    <row r="718" spans="1:15" x14ac:dyDescent="0.15">
      <c r="A718" s="451"/>
      <c r="B718" s="451"/>
      <c r="C718" s="451"/>
      <c r="D718" s="451"/>
      <c r="E718" s="451"/>
      <c r="F718" s="451"/>
      <c r="G718" s="451"/>
      <c r="H718" s="451"/>
      <c r="I718" s="451"/>
      <c r="J718" s="451"/>
      <c r="K718" s="451"/>
      <c r="L718" s="451"/>
      <c r="M718" s="451"/>
      <c r="N718" s="451"/>
      <c r="O718" s="451"/>
    </row>
    <row r="719" spans="1:15" x14ac:dyDescent="0.15">
      <c r="A719" s="451"/>
      <c r="B719" s="451"/>
      <c r="C719" s="451"/>
      <c r="D719" s="451"/>
      <c r="E719" s="451"/>
      <c r="F719" s="451"/>
      <c r="G719" s="451"/>
      <c r="H719" s="451"/>
      <c r="I719" s="451"/>
      <c r="J719" s="451"/>
      <c r="K719" s="451"/>
      <c r="L719" s="451"/>
      <c r="M719" s="451"/>
      <c r="N719" s="451"/>
      <c r="O719" s="451"/>
    </row>
    <row r="720" spans="1:15" x14ac:dyDescent="0.15">
      <c r="A720" s="451"/>
      <c r="B720" s="451"/>
      <c r="C720" s="451"/>
      <c r="D720" s="451"/>
      <c r="E720" s="451"/>
      <c r="F720" s="451"/>
      <c r="G720" s="451"/>
      <c r="H720" s="451"/>
      <c r="I720" s="451"/>
      <c r="J720" s="451"/>
      <c r="K720" s="451"/>
      <c r="L720" s="451"/>
      <c r="M720" s="451"/>
      <c r="N720" s="451"/>
      <c r="O720" s="451"/>
    </row>
    <row r="721" spans="1:15" x14ac:dyDescent="0.15">
      <c r="A721" s="451"/>
      <c r="B721" s="451"/>
      <c r="C721" s="451"/>
      <c r="D721" s="451"/>
      <c r="E721" s="451"/>
      <c r="F721" s="451"/>
      <c r="G721" s="451"/>
      <c r="H721" s="451"/>
      <c r="I721" s="451"/>
      <c r="J721" s="451"/>
      <c r="K721" s="451"/>
      <c r="L721" s="451"/>
      <c r="M721" s="451"/>
      <c r="N721" s="451"/>
      <c r="O721" s="451"/>
    </row>
    <row r="722" spans="1:15" x14ac:dyDescent="0.15">
      <c r="A722" s="451"/>
      <c r="B722" s="451"/>
      <c r="C722" s="451"/>
      <c r="D722" s="451"/>
      <c r="E722" s="451"/>
      <c r="F722" s="451"/>
      <c r="G722" s="451"/>
      <c r="H722" s="451"/>
      <c r="I722" s="451"/>
      <c r="J722" s="451"/>
      <c r="K722" s="451"/>
      <c r="L722" s="451"/>
      <c r="M722" s="451"/>
      <c r="N722" s="451"/>
      <c r="O722" s="451"/>
    </row>
    <row r="723" spans="1:15" x14ac:dyDescent="0.15">
      <c r="A723" s="451"/>
      <c r="B723" s="451"/>
      <c r="C723" s="451"/>
      <c r="D723" s="451"/>
      <c r="E723" s="451"/>
      <c r="F723" s="451"/>
      <c r="G723" s="451"/>
      <c r="H723" s="451"/>
      <c r="I723" s="451"/>
      <c r="J723" s="451"/>
      <c r="K723" s="451"/>
      <c r="L723" s="451"/>
      <c r="M723" s="451"/>
      <c r="N723" s="451"/>
      <c r="O723" s="451"/>
    </row>
    <row r="724" spans="1:15" x14ac:dyDescent="0.15">
      <c r="A724" s="451"/>
      <c r="B724" s="451"/>
      <c r="C724" s="451"/>
      <c r="D724" s="451"/>
      <c r="E724" s="451"/>
      <c r="F724" s="451"/>
      <c r="G724" s="451"/>
      <c r="H724" s="451"/>
      <c r="I724" s="451"/>
      <c r="J724" s="451"/>
      <c r="K724" s="451"/>
      <c r="L724" s="451"/>
      <c r="M724" s="451"/>
      <c r="N724" s="451"/>
      <c r="O724" s="451"/>
    </row>
    <row r="725" spans="1:15" x14ac:dyDescent="0.15">
      <c r="A725" s="451"/>
      <c r="B725" s="451"/>
      <c r="C725" s="451"/>
      <c r="D725" s="451"/>
      <c r="E725" s="451"/>
      <c r="F725" s="451"/>
      <c r="G725" s="451"/>
      <c r="H725" s="451"/>
      <c r="I725" s="451"/>
      <c r="J725" s="451"/>
      <c r="K725" s="451"/>
      <c r="L725" s="451"/>
      <c r="M725" s="451"/>
      <c r="N725" s="451"/>
      <c r="O725" s="451"/>
    </row>
    <row r="726" spans="1:15" x14ac:dyDescent="0.15">
      <c r="A726" s="451"/>
      <c r="B726" s="451"/>
      <c r="C726" s="451"/>
      <c r="D726" s="451"/>
      <c r="E726" s="451"/>
      <c r="F726" s="451"/>
      <c r="G726" s="451"/>
      <c r="H726" s="451"/>
      <c r="I726" s="451"/>
      <c r="J726" s="451"/>
      <c r="K726" s="451"/>
      <c r="L726" s="451"/>
      <c r="M726" s="451"/>
      <c r="N726" s="451"/>
      <c r="O726" s="451"/>
    </row>
    <row r="727" spans="1:15" x14ac:dyDescent="0.15">
      <c r="A727" s="451"/>
      <c r="B727" s="451"/>
      <c r="C727" s="451"/>
      <c r="D727" s="451"/>
      <c r="E727" s="451"/>
      <c r="F727" s="451"/>
      <c r="G727" s="451"/>
      <c r="H727" s="451"/>
      <c r="I727" s="451"/>
      <c r="J727" s="451"/>
      <c r="K727" s="451"/>
      <c r="L727" s="451"/>
      <c r="M727" s="451"/>
      <c r="N727" s="451"/>
      <c r="O727" s="451"/>
    </row>
    <row r="728" spans="1:15" x14ac:dyDescent="0.15">
      <c r="A728" s="451"/>
      <c r="B728" s="451"/>
      <c r="C728" s="451"/>
      <c r="D728" s="451"/>
      <c r="E728" s="451"/>
      <c r="F728" s="451"/>
      <c r="G728" s="451"/>
      <c r="H728" s="451"/>
      <c r="I728" s="451"/>
      <c r="J728" s="451"/>
      <c r="K728" s="451"/>
      <c r="L728" s="451"/>
      <c r="M728" s="451"/>
      <c r="N728" s="451"/>
      <c r="O728" s="451"/>
    </row>
    <row r="729" spans="1:15" x14ac:dyDescent="0.15">
      <c r="A729" s="451"/>
      <c r="B729" s="451"/>
      <c r="C729" s="451"/>
      <c r="D729" s="451"/>
      <c r="E729" s="451"/>
      <c r="F729" s="451"/>
      <c r="G729" s="451"/>
      <c r="H729" s="451"/>
      <c r="I729" s="451"/>
      <c r="J729" s="451"/>
      <c r="K729" s="451"/>
      <c r="L729" s="451"/>
      <c r="M729" s="451"/>
      <c r="N729" s="451"/>
      <c r="O729" s="451"/>
    </row>
    <row r="730" spans="1:15" x14ac:dyDescent="0.15">
      <c r="A730" s="451"/>
      <c r="B730" s="451"/>
      <c r="C730" s="451"/>
      <c r="D730" s="451"/>
      <c r="E730" s="451"/>
      <c r="F730" s="451"/>
      <c r="G730" s="451"/>
      <c r="H730" s="451"/>
      <c r="I730" s="451"/>
      <c r="J730" s="451"/>
      <c r="K730" s="451"/>
      <c r="L730" s="451"/>
      <c r="M730" s="451"/>
      <c r="N730" s="451"/>
      <c r="O730" s="451"/>
    </row>
    <row r="731" spans="1:15" x14ac:dyDescent="0.15">
      <c r="A731" s="451"/>
      <c r="B731" s="451"/>
      <c r="C731" s="451"/>
      <c r="D731" s="451"/>
      <c r="E731" s="451"/>
      <c r="F731" s="451"/>
      <c r="G731" s="451"/>
      <c r="H731" s="451"/>
      <c r="I731" s="451"/>
      <c r="J731" s="451"/>
      <c r="K731" s="451"/>
      <c r="L731" s="451"/>
      <c r="M731" s="451"/>
      <c r="N731" s="451"/>
      <c r="O731" s="451"/>
    </row>
    <row r="732" spans="1:15" x14ac:dyDescent="0.15">
      <c r="A732" s="451"/>
      <c r="B732" s="451"/>
      <c r="C732" s="451"/>
      <c r="D732" s="451"/>
      <c r="E732" s="451"/>
      <c r="F732" s="451"/>
      <c r="G732" s="451"/>
      <c r="H732" s="451"/>
      <c r="I732" s="451"/>
      <c r="J732" s="451"/>
      <c r="K732" s="451"/>
      <c r="L732" s="451"/>
      <c r="M732" s="451"/>
      <c r="N732" s="451"/>
      <c r="O732" s="451"/>
    </row>
    <row r="733" spans="1:15" x14ac:dyDescent="0.15">
      <c r="A733" s="451"/>
      <c r="B733" s="451"/>
      <c r="C733" s="451"/>
      <c r="D733" s="451"/>
      <c r="E733" s="451"/>
      <c r="F733" s="451"/>
      <c r="G733" s="451"/>
      <c r="H733" s="451"/>
      <c r="I733" s="451"/>
      <c r="J733" s="451"/>
      <c r="K733" s="451"/>
      <c r="L733" s="451"/>
      <c r="M733" s="451"/>
      <c r="N733" s="451"/>
      <c r="O733" s="451"/>
    </row>
    <row r="734" spans="1:15" x14ac:dyDescent="0.15">
      <c r="A734" s="451"/>
      <c r="B734" s="451"/>
      <c r="C734" s="451"/>
      <c r="D734" s="451"/>
      <c r="E734" s="451"/>
      <c r="F734" s="451"/>
      <c r="G734" s="451"/>
      <c r="H734" s="451"/>
      <c r="I734" s="451"/>
      <c r="J734" s="451"/>
      <c r="K734" s="451"/>
      <c r="L734" s="451"/>
      <c r="M734" s="451"/>
      <c r="N734" s="451"/>
      <c r="O734" s="451"/>
    </row>
    <row r="735" spans="1:15" x14ac:dyDescent="0.15">
      <c r="A735" s="451"/>
      <c r="B735" s="451"/>
      <c r="C735" s="451"/>
      <c r="D735" s="451"/>
      <c r="E735" s="451"/>
      <c r="F735" s="451"/>
      <c r="G735" s="451"/>
      <c r="H735" s="451"/>
      <c r="I735" s="451"/>
      <c r="J735" s="451"/>
      <c r="K735" s="451"/>
      <c r="L735" s="451"/>
      <c r="M735" s="451"/>
      <c r="N735" s="451"/>
      <c r="O735" s="451"/>
    </row>
    <row r="736" spans="1:15" x14ac:dyDescent="0.15">
      <c r="A736" s="451"/>
      <c r="B736" s="451"/>
      <c r="C736" s="451"/>
      <c r="D736" s="451"/>
      <c r="E736" s="451"/>
      <c r="F736" s="451"/>
      <c r="G736" s="451"/>
      <c r="H736" s="451"/>
      <c r="I736" s="451"/>
      <c r="J736" s="451"/>
      <c r="K736" s="451"/>
      <c r="L736" s="451"/>
      <c r="M736" s="451"/>
      <c r="N736" s="451"/>
      <c r="O736" s="451"/>
    </row>
    <row r="737" spans="1:15" x14ac:dyDescent="0.15">
      <c r="A737" s="451"/>
      <c r="B737" s="451"/>
      <c r="C737" s="451"/>
      <c r="D737" s="451"/>
      <c r="E737" s="451"/>
      <c r="F737" s="451"/>
      <c r="G737" s="451"/>
      <c r="H737" s="451"/>
      <c r="I737" s="451"/>
      <c r="J737" s="451"/>
      <c r="K737" s="451"/>
      <c r="L737" s="451"/>
      <c r="M737" s="451"/>
      <c r="N737" s="451"/>
      <c r="O737" s="451"/>
    </row>
    <row r="738" spans="1:15" x14ac:dyDescent="0.15">
      <c r="A738" s="451"/>
      <c r="B738" s="451"/>
      <c r="C738" s="451"/>
      <c r="D738" s="451"/>
      <c r="E738" s="451"/>
      <c r="F738" s="451"/>
      <c r="G738" s="451"/>
      <c r="H738" s="451"/>
      <c r="I738" s="451"/>
      <c r="J738" s="451"/>
      <c r="K738" s="451"/>
      <c r="L738" s="451"/>
      <c r="M738" s="451"/>
      <c r="N738" s="451"/>
      <c r="O738" s="451"/>
    </row>
    <row r="739" spans="1:15" x14ac:dyDescent="0.15">
      <c r="A739" s="451"/>
      <c r="B739" s="451"/>
      <c r="C739" s="451"/>
      <c r="D739" s="451"/>
      <c r="E739" s="451"/>
      <c r="F739" s="451"/>
      <c r="G739" s="451"/>
      <c r="H739" s="451"/>
      <c r="I739" s="451"/>
      <c r="J739" s="451"/>
      <c r="K739" s="451"/>
      <c r="L739" s="451"/>
      <c r="M739" s="451"/>
      <c r="N739" s="451"/>
      <c r="O739" s="451"/>
    </row>
    <row r="740" spans="1:15" x14ac:dyDescent="0.15">
      <c r="A740" s="451"/>
      <c r="B740" s="451"/>
      <c r="C740" s="451"/>
      <c r="D740" s="451"/>
      <c r="E740" s="451"/>
      <c r="F740" s="451"/>
      <c r="G740" s="451"/>
      <c r="H740" s="451"/>
      <c r="I740" s="451"/>
      <c r="J740" s="451"/>
      <c r="K740" s="451"/>
      <c r="L740" s="451"/>
      <c r="M740" s="451"/>
      <c r="N740" s="451"/>
      <c r="O740" s="451"/>
    </row>
    <row r="741" spans="1:15" x14ac:dyDescent="0.15">
      <c r="A741" s="451"/>
      <c r="B741" s="451"/>
      <c r="C741" s="451"/>
      <c r="D741" s="451"/>
      <c r="E741" s="451"/>
      <c r="F741" s="451"/>
      <c r="G741" s="451"/>
      <c r="H741" s="451"/>
      <c r="I741" s="451"/>
      <c r="J741" s="451"/>
      <c r="K741" s="451"/>
      <c r="L741" s="451"/>
      <c r="M741" s="451"/>
      <c r="N741" s="451"/>
      <c r="O741" s="451"/>
    </row>
    <row r="742" spans="1:15" x14ac:dyDescent="0.15">
      <c r="A742" s="451"/>
      <c r="B742" s="451"/>
      <c r="C742" s="451"/>
      <c r="D742" s="451"/>
      <c r="E742" s="451"/>
      <c r="F742" s="451"/>
      <c r="G742" s="451"/>
      <c r="H742" s="451"/>
      <c r="I742" s="451"/>
      <c r="J742" s="451"/>
      <c r="K742" s="451"/>
      <c r="L742" s="451"/>
      <c r="M742" s="451"/>
      <c r="N742" s="451"/>
      <c r="O742" s="451"/>
    </row>
    <row r="743" spans="1:15" x14ac:dyDescent="0.15">
      <c r="A743" s="451"/>
      <c r="B743" s="451"/>
      <c r="C743" s="451"/>
      <c r="D743" s="451"/>
      <c r="E743" s="451"/>
      <c r="F743" s="451"/>
      <c r="G743" s="451"/>
      <c r="H743" s="451"/>
      <c r="I743" s="451"/>
      <c r="J743" s="451"/>
      <c r="K743" s="451"/>
      <c r="L743" s="451"/>
      <c r="M743" s="451"/>
      <c r="N743" s="451"/>
      <c r="O743" s="451"/>
    </row>
    <row r="744" spans="1:15" x14ac:dyDescent="0.15">
      <c r="A744" s="451"/>
      <c r="B744" s="451"/>
      <c r="C744" s="451"/>
      <c r="D744" s="451"/>
      <c r="E744" s="451"/>
      <c r="F744" s="451"/>
      <c r="G744" s="451"/>
      <c r="H744" s="451"/>
      <c r="I744" s="451"/>
      <c r="J744" s="451"/>
      <c r="K744" s="451"/>
      <c r="L744" s="451"/>
      <c r="M744" s="451"/>
      <c r="N744" s="451"/>
      <c r="O744" s="451"/>
    </row>
    <row r="745" spans="1:15" x14ac:dyDescent="0.15">
      <c r="A745" s="451"/>
      <c r="B745" s="451"/>
      <c r="C745" s="451"/>
      <c r="D745" s="451"/>
      <c r="E745" s="451"/>
      <c r="F745" s="451"/>
      <c r="G745" s="451"/>
      <c r="H745" s="451"/>
      <c r="I745" s="451"/>
      <c r="J745" s="451"/>
      <c r="K745" s="451"/>
      <c r="L745" s="451"/>
      <c r="M745" s="451"/>
      <c r="N745" s="451"/>
      <c r="O745" s="451"/>
    </row>
    <row r="746" spans="1:15" x14ac:dyDescent="0.15">
      <c r="A746" s="451"/>
      <c r="B746" s="451"/>
      <c r="C746" s="451"/>
      <c r="D746" s="451"/>
      <c r="E746" s="451"/>
      <c r="F746" s="451"/>
      <c r="G746" s="451"/>
      <c r="H746" s="451"/>
      <c r="I746" s="451"/>
      <c r="J746" s="451"/>
      <c r="K746" s="451"/>
      <c r="L746" s="451"/>
      <c r="M746" s="451"/>
      <c r="N746" s="451"/>
      <c r="O746" s="451"/>
    </row>
    <row r="747" spans="1:15" x14ac:dyDescent="0.15">
      <c r="A747" s="451"/>
      <c r="B747" s="451"/>
      <c r="C747" s="451"/>
      <c r="D747" s="451"/>
      <c r="E747" s="451"/>
      <c r="F747" s="451"/>
      <c r="G747" s="451"/>
      <c r="H747" s="451"/>
      <c r="I747" s="451"/>
      <c r="J747" s="451"/>
      <c r="K747" s="451"/>
      <c r="L747" s="451"/>
      <c r="M747" s="451"/>
      <c r="N747" s="451"/>
      <c r="O747" s="451"/>
    </row>
    <row r="748" spans="1:15" x14ac:dyDescent="0.15">
      <c r="A748" s="451"/>
      <c r="B748" s="451"/>
      <c r="C748" s="451"/>
      <c r="D748" s="451"/>
      <c r="E748" s="451"/>
      <c r="F748" s="451"/>
      <c r="G748" s="451"/>
      <c r="H748" s="451"/>
      <c r="I748" s="451"/>
      <c r="J748" s="451"/>
      <c r="K748" s="451"/>
      <c r="L748" s="451"/>
      <c r="M748" s="451"/>
      <c r="N748" s="451"/>
      <c r="O748" s="451"/>
    </row>
    <row r="749" spans="1:15" x14ac:dyDescent="0.15">
      <c r="A749" s="451"/>
      <c r="B749" s="451"/>
      <c r="C749" s="451"/>
      <c r="D749" s="451"/>
      <c r="E749" s="451"/>
      <c r="F749" s="451"/>
      <c r="G749" s="451"/>
      <c r="H749" s="451"/>
      <c r="I749" s="451"/>
      <c r="J749" s="451"/>
      <c r="K749" s="451"/>
      <c r="L749" s="451"/>
      <c r="M749" s="451"/>
      <c r="N749" s="451"/>
      <c r="O749" s="451"/>
    </row>
    <row r="750" spans="1:15" x14ac:dyDescent="0.15">
      <c r="A750" s="451"/>
      <c r="B750" s="451"/>
      <c r="C750" s="451"/>
      <c r="D750" s="451"/>
      <c r="E750" s="451"/>
      <c r="F750" s="451"/>
      <c r="G750" s="451"/>
      <c r="H750" s="451"/>
      <c r="I750" s="451"/>
      <c r="J750" s="451"/>
      <c r="K750" s="451"/>
      <c r="L750" s="451"/>
      <c r="M750" s="451"/>
      <c r="N750" s="451"/>
      <c r="O750" s="451"/>
    </row>
    <row r="751" spans="1:15" x14ac:dyDescent="0.15">
      <c r="A751" s="451"/>
      <c r="B751" s="451"/>
      <c r="C751" s="451"/>
      <c r="D751" s="451"/>
      <c r="E751" s="451"/>
      <c r="F751" s="451"/>
      <c r="G751" s="451"/>
      <c r="H751" s="451"/>
      <c r="I751" s="451"/>
      <c r="J751" s="451"/>
      <c r="K751" s="451"/>
      <c r="L751" s="451"/>
      <c r="M751" s="451"/>
      <c r="N751" s="451"/>
      <c r="O751" s="451"/>
    </row>
    <row r="752" spans="1:15" x14ac:dyDescent="0.15">
      <c r="A752" s="451"/>
      <c r="B752" s="451"/>
      <c r="C752" s="451"/>
      <c r="D752" s="451"/>
      <c r="E752" s="451"/>
      <c r="F752" s="451"/>
      <c r="G752" s="451"/>
      <c r="H752" s="451"/>
      <c r="I752" s="451"/>
      <c r="J752" s="451"/>
      <c r="K752" s="451"/>
      <c r="L752" s="451"/>
      <c r="M752" s="451"/>
      <c r="N752" s="451"/>
      <c r="O752" s="451"/>
    </row>
    <row r="753" spans="1:15" x14ac:dyDescent="0.15">
      <c r="A753" s="451"/>
      <c r="B753" s="451"/>
      <c r="C753" s="451"/>
      <c r="D753" s="451"/>
      <c r="E753" s="451"/>
      <c r="F753" s="451"/>
      <c r="G753" s="451"/>
      <c r="H753" s="451"/>
      <c r="I753" s="451"/>
      <c r="J753" s="451"/>
      <c r="K753" s="451"/>
      <c r="L753" s="451"/>
      <c r="M753" s="451"/>
      <c r="N753" s="451"/>
      <c r="O753" s="451"/>
    </row>
    <row r="754" spans="1:15" x14ac:dyDescent="0.15">
      <c r="A754" s="451"/>
      <c r="B754" s="451"/>
      <c r="C754" s="451"/>
      <c r="D754" s="451"/>
      <c r="E754" s="451"/>
      <c r="F754" s="451"/>
      <c r="G754" s="451"/>
      <c r="H754" s="451"/>
      <c r="I754" s="451"/>
      <c r="J754" s="451"/>
      <c r="K754" s="451"/>
      <c r="L754" s="451"/>
      <c r="M754" s="451"/>
      <c r="N754" s="451"/>
      <c r="O754" s="451"/>
    </row>
    <row r="755" spans="1:15" x14ac:dyDescent="0.15">
      <c r="A755" s="451"/>
      <c r="B755" s="451"/>
      <c r="C755" s="451"/>
      <c r="D755" s="451"/>
      <c r="E755" s="451"/>
      <c r="F755" s="451"/>
      <c r="G755" s="451"/>
      <c r="H755" s="451"/>
      <c r="I755" s="451"/>
      <c r="J755" s="451"/>
      <c r="K755" s="451"/>
      <c r="L755" s="451"/>
      <c r="M755" s="451"/>
      <c r="N755" s="451"/>
      <c r="O755" s="451"/>
    </row>
    <row r="756" spans="1:15" x14ac:dyDescent="0.15">
      <c r="A756" s="451"/>
      <c r="B756" s="451"/>
      <c r="C756" s="451"/>
      <c r="D756" s="451"/>
      <c r="E756" s="451"/>
      <c r="F756" s="451"/>
      <c r="G756" s="451"/>
      <c r="H756" s="451"/>
      <c r="I756" s="451"/>
      <c r="J756" s="451"/>
      <c r="K756" s="451"/>
      <c r="L756" s="451"/>
      <c r="M756" s="451"/>
      <c r="N756" s="451"/>
      <c r="O756" s="451"/>
    </row>
    <row r="757" spans="1:15" x14ac:dyDescent="0.15">
      <c r="A757" s="451"/>
      <c r="B757" s="451"/>
      <c r="C757" s="451"/>
      <c r="D757" s="451"/>
      <c r="E757" s="451"/>
      <c r="F757" s="451"/>
      <c r="G757" s="451"/>
      <c r="H757" s="451"/>
      <c r="I757" s="451"/>
      <c r="J757" s="451"/>
      <c r="K757" s="451"/>
      <c r="L757" s="451"/>
      <c r="M757" s="451"/>
      <c r="N757" s="451"/>
      <c r="O757" s="451"/>
    </row>
    <row r="758" spans="1:15" x14ac:dyDescent="0.15">
      <c r="A758" s="451"/>
      <c r="B758" s="451"/>
      <c r="C758" s="451"/>
      <c r="D758" s="451"/>
      <c r="E758" s="451"/>
      <c r="F758" s="451"/>
      <c r="G758" s="451"/>
      <c r="H758" s="451"/>
      <c r="I758" s="451"/>
      <c r="J758" s="451"/>
      <c r="K758" s="451"/>
      <c r="L758" s="451"/>
      <c r="M758" s="451"/>
      <c r="N758" s="451"/>
      <c r="O758" s="451"/>
    </row>
    <row r="759" spans="1:15" x14ac:dyDescent="0.15">
      <c r="A759" s="451"/>
      <c r="B759" s="451"/>
      <c r="C759" s="451"/>
      <c r="D759" s="451"/>
      <c r="E759" s="451"/>
      <c r="F759" s="451"/>
      <c r="G759" s="451"/>
      <c r="H759" s="451"/>
      <c r="I759" s="451"/>
      <c r="J759" s="451"/>
      <c r="K759" s="451"/>
      <c r="L759" s="451"/>
      <c r="M759" s="451"/>
      <c r="N759" s="451"/>
      <c r="O759" s="451"/>
    </row>
    <row r="760" spans="1:15" x14ac:dyDescent="0.15">
      <c r="A760" s="451"/>
      <c r="B760" s="451"/>
      <c r="C760" s="451"/>
      <c r="D760" s="451"/>
      <c r="E760" s="451"/>
      <c r="F760" s="451"/>
      <c r="G760" s="451"/>
      <c r="H760" s="451"/>
      <c r="I760" s="451"/>
      <c r="J760" s="451"/>
      <c r="K760" s="451"/>
      <c r="L760" s="451"/>
      <c r="M760" s="451"/>
      <c r="N760" s="451"/>
      <c r="O760" s="451"/>
    </row>
    <row r="761" spans="1:15" x14ac:dyDescent="0.15">
      <c r="A761" s="451"/>
      <c r="B761" s="451"/>
      <c r="C761" s="451"/>
      <c r="D761" s="451"/>
      <c r="E761" s="451"/>
      <c r="F761" s="451"/>
      <c r="G761" s="451"/>
      <c r="H761" s="451"/>
      <c r="I761" s="451"/>
      <c r="J761" s="451"/>
      <c r="K761" s="451"/>
      <c r="L761" s="451"/>
      <c r="M761" s="451"/>
      <c r="N761" s="451"/>
      <c r="O761" s="451"/>
    </row>
    <row r="762" spans="1:15" x14ac:dyDescent="0.15">
      <c r="A762" s="451"/>
      <c r="B762" s="451"/>
      <c r="C762" s="451"/>
      <c r="D762" s="451"/>
      <c r="E762" s="451"/>
      <c r="F762" s="451"/>
      <c r="G762" s="451"/>
      <c r="H762" s="451"/>
      <c r="I762" s="451"/>
      <c r="J762" s="451"/>
      <c r="K762" s="451"/>
      <c r="L762" s="451"/>
      <c r="M762" s="451"/>
      <c r="N762" s="451"/>
      <c r="O762" s="451"/>
    </row>
    <row r="763" spans="1:15" x14ac:dyDescent="0.15">
      <c r="A763" s="451"/>
      <c r="B763" s="451"/>
      <c r="C763" s="451"/>
      <c r="D763" s="451"/>
      <c r="E763" s="451"/>
      <c r="F763" s="451"/>
      <c r="G763" s="451"/>
      <c r="H763" s="451"/>
      <c r="I763" s="451"/>
      <c r="J763" s="451"/>
      <c r="K763" s="451"/>
      <c r="L763" s="451"/>
      <c r="M763" s="451"/>
      <c r="N763" s="451"/>
      <c r="O763" s="451"/>
    </row>
    <row r="764" spans="1:15" x14ac:dyDescent="0.15">
      <c r="A764" s="451"/>
      <c r="B764" s="451"/>
      <c r="C764" s="451"/>
      <c r="D764" s="451"/>
      <c r="E764" s="451"/>
      <c r="F764" s="451"/>
      <c r="G764" s="451"/>
      <c r="H764" s="451"/>
      <c r="I764" s="451"/>
      <c r="J764" s="451"/>
      <c r="K764" s="451"/>
      <c r="L764" s="451"/>
      <c r="M764" s="451"/>
      <c r="N764" s="451"/>
      <c r="O764" s="451"/>
    </row>
    <row r="765" spans="1:15" x14ac:dyDescent="0.15">
      <c r="A765" s="451"/>
      <c r="B765" s="451"/>
      <c r="C765" s="451"/>
      <c r="D765" s="451"/>
      <c r="E765" s="451"/>
      <c r="F765" s="451"/>
      <c r="G765" s="451"/>
      <c r="H765" s="451"/>
      <c r="I765" s="451"/>
      <c r="J765" s="451"/>
      <c r="K765" s="451"/>
      <c r="L765" s="451"/>
      <c r="M765" s="451"/>
      <c r="N765" s="451"/>
      <c r="O765" s="451"/>
    </row>
    <row r="766" spans="1:15" x14ac:dyDescent="0.15">
      <c r="A766" s="451"/>
      <c r="B766" s="451"/>
      <c r="C766" s="451"/>
      <c r="D766" s="451"/>
      <c r="E766" s="451"/>
      <c r="F766" s="451"/>
      <c r="G766" s="451"/>
      <c r="H766" s="451"/>
      <c r="I766" s="451"/>
      <c r="J766" s="451"/>
      <c r="K766" s="451"/>
      <c r="L766" s="451"/>
      <c r="M766" s="451"/>
      <c r="N766" s="451"/>
      <c r="O766" s="451"/>
    </row>
    <row r="767" spans="1:15" x14ac:dyDescent="0.15">
      <c r="A767" s="451"/>
      <c r="B767" s="451"/>
      <c r="C767" s="451"/>
      <c r="D767" s="451"/>
      <c r="E767" s="451"/>
      <c r="F767" s="451"/>
      <c r="G767" s="451"/>
      <c r="H767" s="451"/>
      <c r="I767" s="451"/>
      <c r="J767" s="451"/>
      <c r="K767" s="451"/>
      <c r="L767" s="451"/>
      <c r="M767" s="451"/>
      <c r="N767" s="451"/>
      <c r="O767" s="451"/>
    </row>
    <row r="768" spans="1:15" x14ac:dyDescent="0.15">
      <c r="A768" s="451"/>
      <c r="B768" s="451"/>
      <c r="C768" s="451"/>
      <c r="D768" s="451"/>
      <c r="E768" s="451"/>
      <c r="F768" s="451"/>
      <c r="G768" s="451"/>
      <c r="H768" s="451"/>
      <c r="I768" s="451"/>
      <c r="J768" s="451"/>
      <c r="K768" s="451"/>
      <c r="L768" s="451"/>
      <c r="M768" s="451"/>
      <c r="N768" s="451"/>
      <c r="O768" s="451"/>
    </row>
    <row r="769" spans="1:15" x14ac:dyDescent="0.15">
      <c r="A769" s="451"/>
      <c r="B769" s="451"/>
      <c r="C769" s="451"/>
      <c r="D769" s="451"/>
      <c r="E769" s="451"/>
      <c r="F769" s="451"/>
      <c r="G769" s="451"/>
      <c r="H769" s="451"/>
      <c r="I769" s="451"/>
      <c r="J769" s="451"/>
      <c r="K769" s="451"/>
      <c r="L769" s="451"/>
      <c r="M769" s="451"/>
      <c r="N769" s="451"/>
      <c r="O769" s="451"/>
    </row>
    <row r="770" spans="1:15" x14ac:dyDescent="0.15">
      <c r="A770" s="451"/>
      <c r="B770" s="451"/>
      <c r="C770" s="451"/>
      <c r="D770" s="451"/>
      <c r="E770" s="451"/>
      <c r="F770" s="451"/>
      <c r="G770" s="451"/>
      <c r="H770" s="451"/>
      <c r="I770" s="451"/>
      <c r="J770" s="451"/>
      <c r="K770" s="451"/>
      <c r="L770" s="451"/>
      <c r="M770" s="451"/>
      <c r="N770" s="451"/>
      <c r="O770" s="451"/>
    </row>
  </sheetData>
  <phoneticPr fontId="0" type="noConversion"/>
  <printOptions horizontalCentered="1"/>
  <pageMargins left="0.7" right="0.7" top="0.7" bottom="0.7" header="0.5" footer="0.5"/>
  <pageSetup scale="70" orientation="landscape" blackAndWhite="1" horizontalDpi="300" verticalDpi="300" r:id="rId1"/>
  <headerFooter alignWithMargins="0">
    <oddFooter>&amp;C&amp;"Arial,Regular"Statements - Page &amp;P</oddFooter>
  </headerFooter>
  <rowBreaks count="4" manualBreakCount="4">
    <brk id="55" max="65535" man="1"/>
    <brk id="100" max="65535" man="1"/>
    <brk id="133" max="11" man="1"/>
    <brk id="233" max="6553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W69"/>
  <sheetViews>
    <sheetView windowProtection="1" workbookViewId="0">
      <selection activeCell="E18" sqref="E18"/>
    </sheetView>
  </sheetViews>
  <sheetFormatPr defaultRowHeight="12" x14ac:dyDescent="0.15"/>
  <sheetData>
    <row r="1" spans="1:23" x14ac:dyDescent="0.15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85"/>
      <c r="O1" s="85"/>
      <c r="P1" s="85"/>
      <c r="Q1" s="85"/>
    </row>
    <row r="2" spans="1:23" x14ac:dyDescent="0.15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85"/>
      <c r="O2" s="85"/>
      <c r="P2" s="85"/>
      <c r="Q2" s="85"/>
    </row>
    <row r="3" spans="1:23" ht="12.75" x14ac:dyDescent="0.2">
      <c r="A3" s="326"/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07"/>
      <c r="O3" s="307"/>
      <c r="P3" s="307"/>
      <c r="Q3" s="307"/>
      <c r="R3" s="27"/>
      <c r="S3" s="27"/>
      <c r="T3" s="27"/>
      <c r="U3" s="27"/>
      <c r="V3" s="27"/>
      <c r="W3" s="27"/>
    </row>
    <row r="4" spans="1:23" ht="12.75" x14ac:dyDescent="0.2">
      <c r="A4" s="85"/>
      <c r="B4" s="326"/>
      <c r="C4" s="102"/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07"/>
      <c r="O4" s="307"/>
      <c r="P4" s="307"/>
      <c r="Q4" s="307"/>
      <c r="R4" s="27"/>
      <c r="S4" s="27"/>
      <c r="T4" s="27"/>
      <c r="U4" s="27"/>
      <c r="V4" s="27"/>
      <c r="W4" s="27"/>
    </row>
    <row r="5" spans="1:23" ht="12.75" x14ac:dyDescent="0.2">
      <c r="A5" s="85"/>
      <c r="B5" s="326"/>
      <c r="C5" s="326"/>
      <c r="D5" s="326"/>
      <c r="E5" s="326"/>
      <c r="F5" s="326"/>
      <c r="G5" s="326"/>
      <c r="H5" s="326"/>
      <c r="I5" s="326"/>
      <c r="J5" s="326"/>
      <c r="K5" s="326"/>
      <c r="L5" s="326"/>
      <c r="M5" s="326"/>
      <c r="N5" s="307"/>
      <c r="O5" s="307"/>
      <c r="P5" s="307"/>
      <c r="Q5" s="307"/>
      <c r="R5" s="27"/>
      <c r="S5" s="27"/>
      <c r="T5" s="27"/>
      <c r="U5" s="27"/>
      <c r="V5" s="27"/>
      <c r="W5" s="27"/>
    </row>
    <row r="6" spans="1:23" ht="12.75" x14ac:dyDescent="0.2">
      <c r="A6" s="85"/>
      <c r="B6" s="326"/>
      <c r="C6" s="326"/>
      <c r="D6" s="326"/>
      <c r="E6" s="326"/>
      <c r="F6" s="326"/>
      <c r="G6" s="326"/>
      <c r="H6" s="326"/>
      <c r="I6" s="326"/>
      <c r="J6" s="326"/>
      <c r="K6" s="326"/>
      <c r="L6" s="326"/>
      <c r="M6" s="326"/>
      <c r="N6" s="307"/>
      <c r="O6" s="307"/>
      <c r="P6" s="307"/>
      <c r="Q6" s="307"/>
      <c r="R6" s="27"/>
      <c r="S6" s="27"/>
      <c r="T6" s="27"/>
      <c r="U6" s="27"/>
      <c r="V6" s="27"/>
      <c r="W6" s="27"/>
    </row>
    <row r="7" spans="1:23" ht="12.75" x14ac:dyDescent="0.2">
      <c r="A7" s="85"/>
      <c r="B7" s="326"/>
      <c r="C7" s="102"/>
      <c r="D7" s="326"/>
      <c r="E7" s="326"/>
      <c r="F7" s="326"/>
      <c r="G7" s="326"/>
      <c r="H7" s="326"/>
      <c r="I7" s="326"/>
      <c r="J7" s="326"/>
      <c r="K7" s="326"/>
      <c r="L7" s="326"/>
      <c r="M7" s="326"/>
      <c r="N7" s="307"/>
      <c r="O7" s="307"/>
      <c r="P7" s="307"/>
      <c r="Q7" s="307"/>
      <c r="R7" s="27"/>
      <c r="S7" s="27"/>
      <c r="T7" s="27"/>
      <c r="U7" s="27"/>
      <c r="V7" s="27"/>
      <c r="W7" s="27"/>
    </row>
    <row r="8" spans="1:23" ht="12.75" x14ac:dyDescent="0.2">
      <c r="A8" s="85"/>
      <c r="B8" s="326"/>
      <c r="C8" s="326"/>
      <c r="D8" s="326"/>
      <c r="E8" s="326"/>
      <c r="F8" s="326"/>
      <c r="G8" s="326"/>
      <c r="H8" s="326"/>
      <c r="I8" s="326"/>
      <c r="J8" s="326"/>
      <c r="K8" s="326"/>
      <c r="L8" s="326"/>
      <c r="M8" s="326"/>
      <c r="N8" s="307"/>
      <c r="O8" s="307"/>
      <c r="P8" s="307"/>
      <c r="Q8" s="307"/>
      <c r="R8" s="27"/>
      <c r="S8" s="27"/>
      <c r="T8" s="27"/>
      <c r="U8" s="27"/>
      <c r="V8" s="27"/>
      <c r="W8" s="27"/>
    </row>
    <row r="9" spans="1:23" ht="35.25" x14ac:dyDescent="0.5">
      <c r="A9" s="327" t="str">
        <f>Assumptions!B3</f>
        <v>simulation water company</v>
      </c>
      <c r="B9" s="326"/>
      <c r="C9" s="326"/>
      <c r="D9" s="326"/>
      <c r="E9" s="326"/>
      <c r="F9" s="326"/>
      <c r="G9" s="326"/>
      <c r="H9" s="326"/>
      <c r="I9" s="326"/>
      <c r="J9" s="326"/>
      <c r="K9" s="326"/>
      <c r="L9" s="326"/>
      <c r="M9" s="326"/>
      <c r="N9" s="307"/>
      <c r="O9" s="307"/>
      <c r="P9" s="307"/>
      <c r="Q9" s="307"/>
      <c r="R9" s="27"/>
      <c r="S9" s="27"/>
      <c r="T9" s="27"/>
      <c r="U9" s="27"/>
      <c r="V9" s="27"/>
      <c r="W9" s="27"/>
    </row>
    <row r="10" spans="1:23" ht="12.75" x14ac:dyDescent="0.2">
      <c r="A10" s="326"/>
      <c r="B10" s="326"/>
      <c r="C10" s="326"/>
      <c r="D10" s="326"/>
      <c r="E10" s="326"/>
      <c r="F10" s="326"/>
      <c r="G10" s="326"/>
      <c r="H10" s="326"/>
      <c r="I10" s="326"/>
      <c r="J10" s="326"/>
      <c r="K10" s="326"/>
      <c r="L10" s="326"/>
      <c r="M10" s="326"/>
      <c r="N10" s="307"/>
      <c r="O10" s="307"/>
      <c r="P10" s="307"/>
      <c r="Q10" s="307"/>
      <c r="R10" s="27"/>
      <c r="S10" s="27"/>
      <c r="T10" s="27"/>
      <c r="U10" s="27"/>
      <c r="V10" s="27"/>
      <c r="W10" s="27"/>
    </row>
    <row r="11" spans="1:23" ht="12.75" x14ac:dyDescent="0.2">
      <c r="A11" s="326"/>
      <c r="B11" s="326"/>
      <c r="C11" s="326"/>
      <c r="D11" s="326"/>
      <c r="E11" s="326"/>
      <c r="F11" s="326"/>
      <c r="G11" s="326"/>
      <c r="H11" s="326"/>
      <c r="I11" s="326"/>
      <c r="J11" s="326"/>
      <c r="K11" s="326"/>
      <c r="L11" s="326"/>
      <c r="M11" s="326"/>
      <c r="N11" s="307"/>
      <c r="O11" s="307"/>
      <c r="P11" s="307"/>
      <c r="Q11" s="307"/>
      <c r="R11" s="27"/>
      <c r="S11" s="27"/>
      <c r="T11" s="27"/>
      <c r="U11" s="27"/>
      <c r="V11" s="27"/>
      <c r="W11" s="27"/>
    </row>
    <row r="12" spans="1:23" ht="30" x14ac:dyDescent="0.4">
      <c r="A12" s="328" t="s">
        <v>230</v>
      </c>
      <c r="B12" s="326"/>
      <c r="C12" s="326"/>
      <c r="D12" s="326"/>
      <c r="E12" s="326"/>
      <c r="F12" s="326"/>
      <c r="G12" s="326"/>
      <c r="H12" s="326"/>
      <c r="I12" s="326"/>
      <c r="J12" s="326"/>
      <c r="K12" s="326"/>
      <c r="L12" s="326"/>
      <c r="M12" s="326"/>
      <c r="N12" s="307"/>
      <c r="O12" s="307"/>
      <c r="P12" s="307"/>
      <c r="Q12" s="307"/>
      <c r="R12" s="27"/>
      <c r="S12" s="27"/>
      <c r="T12" s="27"/>
      <c r="U12" s="27"/>
      <c r="V12" s="27"/>
      <c r="W12" s="27"/>
    </row>
    <row r="13" spans="1:23" ht="12.75" x14ac:dyDescent="0.2">
      <c r="A13" s="326"/>
      <c r="B13" s="326"/>
      <c r="C13" s="326"/>
      <c r="D13" s="326"/>
      <c r="E13" s="326"/>
      <c r="F13" s="326"/>
      <c r="G13" s="326"/>
      <c r="H13" s="326"/>
      <c r="I13" s="326"/>
      <c r="J13" s="326"/>
      <c r="K13" s="326"/>
      <c r="L13" s="326"/>
      <c r="M13" s="326"/>
      <c r="N13" s="307"/>
      <c r="O13" s="307"/>
      <c r="P13" s="307"/>
      <c r="Q13" s="307"/>
      <c r="R13" s="27"/>
      <c r="S13" s="27"/>
      <c r="T13" s="27"/>
      <c r="U13" s="27"/>
      <c r="V13" s="27"/>
      <c r="W13" s="27"/>
    </row>
    <row r="14" spans="1:23" ht="12.75" x14ac:dyDescent="0.2">
      <c r="A14" s="326"/>
      <c r="B14" s="326"/>
      <c r="C14" s="326"/>
      <c r="D14" s="326"/>
      <c r="E14" s="326"/>
      <c r="F14" s="326"/>
      <c r="G14" s="326"/>
      <c r="H14" s="326"/>
      <c r="I14" s="326"/>
      <c r="J14" s="326"/>
      <c r="K14" s="326"/>
      <c r="L14" s="326"/>
      <c r="M14" s="307"/>
      <c r="N14" s="307"/>
      <c r="O14" s="307"/>
      <c r="P14" s="307"/>
      <c r="Q14" s="307"/>
      <c r="R14" s="27"/>
      <c r="S14" s="27"/>
      <c r="T14" s="27"/>
      <c r="U14" s="27"/>
      <c r="V14" s="27"/>
      <c r="W14" s="27"/>
    </row>
    <row r="15" spans="1:23" ht="12.75" x14ac:dyDescent="0.2">
      <c r="A15" s="326"/>
      <c r="B15" s="326"/>
      <c r="C15" s="326"/>
      <c r="D15" s="326"/>
      <c r="E15" s="326"/>
      <c r="F15" s="326"/>
      <c r="G15" s="326"/>
      <c r="H15" s="326"/>
      <c r="I15" s="326"/>
      <c r="J15" s="326"/>
      <c r="K15" s="326"/>
      <c r="L15" s="326"/>
      <c r="M15" s="307"/>
      <c r="N15" s="307"/>
      <c r="O15" s="307"/>
      <c r="P15" s="307"/>
      <c r="Q15" s="307"/>
      <c r="R15" s="27"/>
      <c r="S15" s="27"/>
      <c r="T15" s="27"/>
      <c r="U15" s="27"/>
      <c r="V15" s="27"/>
      <c r="W15" s="27"/>
    </row>
    <row r="16" spans="1:23" ht="12.75" x14ac:dyDescent="0.2">
      <c r="A16" s="326"/>
      <c r="B16" s="326"/>
      <c r="C16" s="326"/>
      <c r="D16" s="326"/>
      <c r="E16" s="326"/>
      <c r="F16" s="326"/>
      <c r="G16" s="326"/>
      <c r="H16" s="326"/>
      <c r="I16" s="326"/>
      <c r="J16" s="326"/>
      <c r="K16" s="326"/>
      <c r="L16" s="326"/>
      <c r="M16" s="307"/>
      <c r="N16" s="307"/>
      <c r="O16" s="307"/>
      <c r="P16" s="307"/>
      <c r="Q16" s="307"/>
      <c r="R16" s="27"/>
      <c r="S16" s="27"/>
      <c r="T16" s="27"/>
      <c r="U16" s="27"/>
      <c r="V16" s="27"/>
      <c r="W16" s="27"/>
    </row>
    <row r="17" spans="1:23" ht="12.75" x14ac:dyDescent="0.2">
      <c r="A17" s="326"/>
      <c r="B17" s="326"/>
      <c r="C17" s="326"/>
      <c r="D17" s="326"/>
      <c r="E17" s="326"/>
      <c r="F17" s="326"/>
      <c r="G17" s="326"/>
      <c r="H17" s="326"/>
      <c r="I17" s="326"/>
      <c r="J17" s="326"/>
      <c r="K17" s="326"/>
      <c r="L17" s="326"/>
      <c r="M17" s="307"/>
      <c r="N17" s="307"/>
      <c r="O17" s="307"/>
      <c r="P17" s="307"/>
      <c r="Q17" s="307"/>
      <c r="R17" s="27"/>
      <c r="S17" s="27"/>
      <c r="T17" s="27"/>
      <c r="U17" s="27"/>
      <c r="V17" s="27"/>
      <c r="W17" s="27"/>
    </row>
    <row r="18" spans="1:23" ht="12.75" x14ac:dyDescent="0.2">
      <c r="A18" s="326"/>
      <c r="B18" s="326"/>
      <c r="C18" s="326"/>
      <c r="D18" s="326"/>
      <c r="E18" s="326"/>
      <c r="F18" s="326"/>
      <c r="G18" s="326"/>
      <c r="H18" s="326"/>
      <c r="I18" s="326"/>
      <c r="J18" s="326"/>
      <c r="K18" s="326"/>
      <c r="L18" s="326"/>
      <c r="M18" s="307"/>
      <c r="N18" s="307"/>
      <c r="O18" s="307"/>
      <c r="P18" s="307"/>
      <c r="Q18" s="307"/>
      <c r="R18" s="27"/>
      <c r="S18" s="27"/>
      <c r="T18" s="27"/>
      <c r="U18" s="27"/>
      <c r="V18" s="27"/>
      <c r="W18" s="27"/>
    </row>
    <row r="19" spans="1:23" ht="12.75" x14ac:dyDescent="0.2">
      <c r="A19" s="326"/>
      <c r="B19" s="326"/>
      <c r="C19" s="326"/>
      <c r="D19" s="326"/>
      <c r="E19" s="326"/>
      <c r="F19" s="326"/>
      <c r="G19" s="326"/>
      <c r="H19" s="326"/>
      <c r="I19" s="326"/>
      <c r="J19" s="326"/>
      <c r="K19" s="326"/>
      <c r="L19" s="326"/>
      <c r="M19" s="307"/>
      <c r="N19" s="307"/>
      <c r="O19" s="307"/>
      <c r="P19" s="307"/>
      <c r="Q19" s="307"/>
      <c r="R19" s="27"/>
      <c r="S19" s="27"/>
      <c r="T19" s="27"/>
      <c r="U19" s="27"/>
      <c r="V19" s="27"/>
      <c r="W19" s="27"/>
    </row>
    <row r="20" spans="1:23" ht="12.75" x14ac:dyDescent="0.2">
      <c r="A20" s="326"/>
      <c r="B20" s="326"/>
      <c r="C20" s="326"/>
      <c r="D20" s="326"/>
      <c r="E20" s="326"/>
      <c r="F20" s="326"/>
      <c r="G20" s="326"/>
      <c r="H20" s="326"/>
      <c r="I20" s="326"/>
      <c r="J20" s="326"/>
      <c r="K20" s="326"/>
      <c r="L20" s="326"/>
      <c r="M20" s="307"/>
      <c r="N20" s="307"/>
      <c r="O20" s="307"/>
      <c r="P20" s="307"/>
      <c r="Q20" s="307"/>
      <c r="R20" s="27"/>
      <c r="S20" s="27"/>
      <c r="T20" s="27"/>
      <c r="U20" s="27"/>
      <c r="V20" s="27"/>
      <c r="W20" s="27"/>
    </row>
    <row r="21" spans="1:23" ht="12.75" x14ac:dyDescent="0.2">
      <c r="A21" s="326"/>
      <c r="B21" s="326"/>
      <c r="C21" s="326"/>
      <c r="D21" s="326"/>
      <c r="E21" s="326"/>
      <c r="F21" s="326"/>
      <c r="G21" s="326"/>
      <c r="H21" s="326"/>
      <c r="I21" s="326"/>
      <c r="J21" s="326"/>
      <c r="K21" s="326"/>
      <c r="L21" s="326"/>
      <c r="M21" s="307"/>
      <c r="N21" s="307"/>
      <c r="O21" s="307"/>
      <c r="P21" s="307"/>
      <c r="Q21" s="307"/>
      <c r="R21" s="27"/>
      <c r="S21" s="27"/>
      <c r="T21" s="27"/>
      <c r="U21" s="27"/>
      <c r="V21" s="27"/>
      <c r="W21" s="27"/>
    </row>
    <row r="22" spans="1:23" ht="12.75" x14ac:dyDescent="0.2">
      <c r="A22" s="326"/>
      <c r="B22" s="326"/>
      <c r="C22" s="326"/>
      <c r="D22" s="326"/>
      <c r="E22" s="326"/>
      <c r="F22" s="326"/>
      <c r="G22" s="326"/>
      <c r="H22" s="326"/>
      <c r="I22" s="326"/>
      <c r="J22" s="326"/>
      <c r="K22" s="326"/>
      <c r="L22" s="326"/>
      <c r="M22" s="307"/>
      <c r="N22" s="307"/>
      <c r="O22" s="307"/>
      <c r="P22" s="307"/>
      <c r="Q22" s="307"/>
      <c r="R22" s="27"/>
      <c r="S22" s="27"/>
      <c r="T22" s="27"/>
      <c r="U22" s="27"/>
      <c r="V22" s="27"/>
      <c r="W22" s="27"/>
    </row>
    <row r="23" spans="1:23" ht="12.75" x14ac:dyDescent="0.2">
      <c r="A23" s="326"/>
      <c r="B23" s="326"/>
      <c r="C23" s="326"/>
      <c r="D23" s="326"/>
      <c r="E23" s="326"/>
      <c r="F23" s="326"/>
      <c r="G23" s="326"/>
      <c r="H23" s="326"/>
      <c r="I23" s="326"/>
      <c r="J23" s="326"/>
      <c r="K23" s="326"/>
      <c r="L23" s="326"/>
      <c r="M23" s="307"/>
      <c r="N23" s="307"/>
      <c r="O23" s="307"/>
      <c r="P23" s="307"/>
      <c r="Q23" s="307"/>
      <c r="R23" s="27"/>
      <c r="S23" s="27"/>
      <c r="T23" s="27"/>
      <c r="U23" s="27"/>
      <c r="V23" s="27"/>
      <c r="W23" s="27"/>
    </row>
    <row r="24" spans="1:23" ht="12.75" x14ac:dyDescent="0.2">
      <c r="A24" s="326"/>
      <c r="B24" s="326"/>
      <c r="C24" s="326"/>
      <c r="D24" s="326"/>
      <c r="E24" s="326"/>
      <c r="F24" s="326"/>
      <c r="G24" s="326"/>
      <c r="H24" s="326"/>
      <c r="I24" s="326"/>
      <c r="J24" s="326"/>
      <c r="K24" s="326"/>
      <c r="L24" s="326"/>
      <c r="M24" s="307"/>
      <c r="N24" s="307"/>
      <c r="O24" s="307"/>
      <c r="P24" s="307"/>
      <c r="Q24" s="307"/>
      <c r="R24" s="27"/>
      <c r="S24" s="27"/>
      <c r="T24" s="27"/>
      <c r="U24" s="27"/>
      <c r="V24" s="27"/>
      <c r="W24" s="27"/>
    </row>
    <row r="25" spans="1:23" ht="12.75" x14ac:dyDescent="0.2">
      <c r="A25" s="326"/>
      <c r="B25" s="326"/>
      <c r="C25" s="326"/>
      <c r="D25" s="326"/>
      <c r="E25" s="326"/>
      <c r="F25" s="326"/>
      <c r="G25" s="326"/>
      <c r="H25" s="326"/>
      <c r="I25" s="326"/>
      <c r="J25" s="326"/>
      <c r="K25" s="326"/>
      <c r="L25" s="326"/>
      <c r="M25" s="307"/>
      <c r="N25" s="307"/>
      <c r="O25" s="307"/>
      <c r="P25" s="307"/>
      <c r="Q25" s="307"/>
      <c r="R25" s="27"/>
      <c r="S25" s="27"/>
      <c r="T25" s="27"/>
      <c r="U25" s="27"/>
      <c r="V25" s="27"/>
      <c r="W25" s="27"/>
    </row>
    <row r="26" spans="1:23" ht="12.75" x14ac:dyDescent="0.2">
      <c r="A26" s="326"/>
      <c r="B26" s="326"/>
      <c r="C26" s="326"/>
      <c r="D26" s="326"/>
      <c r="E26" s="326"/>
      <c r="F26" s="326"/>
      <c r="G26" s="326"/>
      <c r="H26" s="326"/>
      <c r="I26" s="326"/>
      <c r="J26" s="326"/>
      <c r="K26" s="326"/>
      <c r="L26" s="326"/>
      <c r="M26" s="307"/>
      <c r="N26" s="307"/>
      <c r="O26" s="307"/>
      <c r="P26" s="307"/>
      <c r="Q26" s="307"/>
      <c r="R26" s="27"/>
      <c r="S26" s="27"/>
      <c r="T26" s="27"/>
      <c r="U26" s="27"/>
      <c r="V26" s="27"/>
      <c r="W26" s="27"/>
    </row>
    <row r="27" spans="1:23" ht="12.75" x14ac:dyDescent="0.2">
      <c r="A27" s="326"/>
      <c r="B27" s="326"/>
      <c r="C27" s="326"/>
      <c r="D27" s="326"/>
      <c r="E27" s="326"/>
      <c r="F27" s="326"/>
      <c r="G27" s="326"/>
      <c r="H27" s="326"/>
      <c r="I27" s="326"/>
      <c r="J27" s="326"/>
      <c r="K27" s="326"/>
      <c r="L27" s="326"/>
      <c r="M27" s="307"/>
      <c r="N27" s="307"/>
      <c r="O27" s="307"/>
      <c r="P27" s="307"/>
      <c r="Q27" s="307"/>
      <c r="R27" s="27"/>
      <c r="S27" s="27"/>
      <c r="T27" s="27"/>
      <c r="U27" s="27"/>
      <c r="V27" s="27"/>
      <c r="W27" s="27"/>
    </row>
    <row r="28" spans="1:23" ht="12.75" x14ac:dyDescent="0.2">
      <c r="A28" s="326"/>
      <c r="B28" s="326"/>
      <c r="C28" s="326"/>
      <c r="D28" s="326"/>
      <c r="E28" s="326"/>
      <c r="F28" s="326"/>
      <c r="G28" s="326"/>
      <c r="H28" s="326"/>
      <c r="I28" s="326"/>
      <c r="J28" s="326"/>
      <c r="K28" s="326"/>
      <c r="L28" s="326"/>
      <c r="M28" s="307"/>
      <c r="N28" s="307"/>
      <c r="O28" s="307"/>
      <c r="P28" s="307"/>
      <c r="Q28" s="307"/>
      <c r="R28" s="27"/>
      <c r="S28" s="27"/>
      <c r="T28" s="27"/>
      <c r="U28" s="27"/>
      <c r="V28" s="27"/>
      <c r="W28" s="27"/>
    </row>
    <row r="29" spans="1:23" ht="12.75" x14ac:dyDescent="0.2">
      <c r="A29" s="326"/>
      <c r="B29" s="326"/>
      <c r="C29" s="326"/>
      <c r="D29" s="326"/>
      <c r="E29" s="326"/>
      <c r="F29" s="326"/>
      <c r="G29" s="326"/>
      <c r="H29" s="326"/>
      <c r="I29" s="326"/>
      <c r="J29" s="326"/>
      <c r="K29" s="326"/>
      <c r="L29" s="326"/>
      <c r="M29" s="307"/>
      <c r="N29" s="307"/>
      <c r="O29" s="307"/>
      <c r="P29" s="307"/>
      <c r="Q29" s="307"/>
      <c r="R29" s="27"/>
      <c r="S29" s="27"/>
      <c r="T29" s="27"/>
      <c r="U29" s="27"/>
      <c r="V29" s="27"/>
      <c r="W29" s="27"/>
    </row>
    <row r="30" spans="1:23" ht="12.75" x14ac:dyDescent="0.2">
      <c r="A30" s="326"/>
      <c r="B30" s="326"/>
      <c r="C30" s="326"/>
      <c r="D30" s="326"/>
      <c r="E30" s="326"/>
      <c r="F30" s="326"/>
      <c r="G30" s="326"/>
      <c r="H30" s="326"/>
      <c r="I30" s="326"/>
      <c r="J30" s="326"/>
      <c r="K30" s="326"/>
      <c r="L30" s="326"/>
      <c r="M30" s="307"/>
      <c r="N30" s="307"/>
      <c r="O30" s="307"/>
      <c r="P30" s="307"/>
      <c r="Q30" s="307"/>
      <c r="R30" s="27"/>
      <c r="S30" s="27"/>
      <c r="T30" s="27"/>
      <c r="U30" s="27"/>
      <c r="V30" s="27"/>
      <c r="W30" s="27"/>
    </row>
    <row r="31" spans="1:23" ht="12.75" x14ac:dyDescent="0.2">
      <c r="A31" s="326"/>
      <c r="B31" s="326"/>
      <c r="C31" s="326"/>
      <c r="D31" s="326"/>
      <c r="E31" s="326"/>
      <c r="F31" s="326"/>
      <c r="G31" s="326"/>
      <c r="H31" s="326"/>
      <c r="I31" s="326"/>
      <c r="J31" s="326"/>
      <c r="K31" s="326"/>
      <c r="L31" s="326"/>
      <c r="M31" s="307"/>
      <c r="N31" s="307"/>
      <c r="O31" s="307"/>
      <c r="P31" s="307"/>
      <c r="Q31" s="307"/>
      <c r="R31" s="27"/>
      <c r="S31" s="27"/>
      <c r="T31" s="27"/>
      <c r="U31" s="27"/>
      <c r="V31" s="27"/>
      <c r="W31" s="27"/>
    </row>
    <row r="32" spans="1:23" ht="12.75" x14ac:dyDescent="0.2">
      <c r="A32" s="326"/>
      <c r="B32" s="326"/>
      <c r="C32" s="326"/>
      <c r="D32" s="326"/>
      <c r="E32" s="326"/>
      <c r="F32" s="326"/>
      <c r="G32" s="326"/>
      <c r="H32" s="326"/>
      <c r="I32" s="326"/>
      <c r="J32" s="326"/>
      <c r="K32" s="326"/>
      <c r="L32" s="326"/>
      <c r="M32" s="307"/>
      <c r="N32" s="307"/>
      <c r="O32" s="307"/>
      <c r="P32" s="307"/>
      <c r="Q32" s="307"/>
      <c r="R32" s="27"/>
      <c r="S32" s="27"/>
      <c r="T32" s="27"/>
      <c r="U32" s="27"/>
      <c r="V32" s="27"/>
      <c r="W32" s="27"/>
    </row>
    <row r="33" spans="1:23" ht="12.75" x14ac:dyDescent="0.2">
      <c r="A33" s="307"/>
      <c r="B33" s="307"/>
      <c r="C33" s="307"/>
      <c r="D33" s="307"/>
      <c r="E33" s="307"/>
      <c r="F33" s="307"/>
      <c r="G33" s="307"/>
      <c r="H33" s="307"/>
      <c r="I33" s="307"/>
      <c r="J33" s="307"/>
      <c r="K33" s="307"/>
      <c r="L33" s="307"/>
      <c r="M33" s="307"/>
      <c r="N33" s="307"/>
      <c r="O33" s="307"/>
      <c r="P33" s="307"/>
      <c r="Q33" s="307"/>
      <c r="R33" s="27"/>
      <c r="S33" s="27"/>
      <c r="T33" s="27"/>
      <c r="U33" s="27"/>
      <c r="V33" s="27"/>
      <c r="W33" s="27"/>
    </row>
    <row r="34" spans="1:23" ht="12.75" x14ac:dyDescent="0.2">
      <c r="A34" s="307"/>
      <c r="B34" s="307"/>
      <c r="C34" s="307"/>
      <c r="D34" s="307"/>
      <c r="E34" s="307"/>
      <c r="F34" s="307"/>
      <c r="G34" s="307"/>
      <c r="H34" s="307"/>
      <c r="I34" s="307"/>
      <c r="J34" s="307"/>
      <c r="K34" s="307"/>
      <c r="L34" s="307"/>
      <c r="M34" s="307"/>
      <c r="N34" s="307"/>
      <c r="O34" s="307"/>
      <c r="P34" s="307"/>
      <c r="Q34" s="307"/>
      <c r="R34" s="27"/>
      <c r="S34" s="27"/>
      <c r="T34" s="27"/>
      <c r="U34" s="27"/>
      <c r="V34" s="27"/>
      <c r="W34" s="27"/>
    </row>
    <row r="35" spans="1:23" ht="12.75" x14ac:dyDescent="0.2">
      <c r="A35" s="307"/>
      <c r="B35" s="307"/>
      <c r="C35" s="307"/>
      <c r="D35" s="307"/>
      <c r="E35" s="307"/>
      <c r="F35" s="307"/>
      <c r="G35" s="307"/>
      <c r="H35" s="307"/>
      <c r="I35" s="307"/>
      <c r="J35" s="307"/>
      <c r="K35" s="307"/>
      <c r="L35" s="307"/>
      <c r="M35" s="307"/>
      <c r="N35" s="307"/>
      <c r="O35" s="307"/>
      <c r="P35" s="307"/>
      <c r="Q35" s="307"/>
      <c r="R35" s="27"/>
      <c r="S35" s="27"/>
      <c r="T35" s="27"/>
      <c r="U35" s="27"/>
      <c r="V35" s="27"/>
      <c r="W35" s="27"/>
    </row>
    <row r="36" spans="1:23" ht="12.75" x14ac:dyDescent="0.2">
      <c r="A36" s="307"/>
      <c r="B36" s="307"/>
      <c r="C36" s="307"/>
      <c r="D36" s="307"/>
      <c r="E36" s="307"/>
      <c r="F36" s="307"/>
      <c r="G36" s="307"/>
      <c r="H36" s="307"/>
      <c r="I36" s="307"/>
      <c r="J36" s="307"/>
      <c r="K36" s="307"/>
      <c r="L36" s="307"/>
      <c r="M36" s="307"/>
      <c r="N36" s="307"/>
      <c r="O36" s="307"/>
      <c r="P36" s="307"/>
      <c r="Q36" s="307"/>
      <c r="R36" s="27"/>
      <c r="S36" s="27"/>
      <c r="T36" s="27"/>
      <c r="U36" s="27"/>
      <c r="V36" s="27"/>
      <c r="W36" s="27"/>
    </row>
    <row r="37" spans="1:23" ht="12.75" x14ac:dyDescent="0.2">
      <c r="A37" s="307"/>
      <c r="B37" s="307"/>
      <c r="C37" s="307"/>
      <c r="D37" s="307"/>
      <c r="E37" s="307"/>
      <c r="F37" s="307"/>
      <c r="G37" s="307"/>
      <c r="H37" s="307"/>
      <c r="I37" s="307"/>
      <c r="J37" s="307"/>
      <c r="K37" s="307"/>
      <c r="L37" s="307"/>
      <c r="M37" s="307"/>
      <c r="N37" s="307"/>
      <c r="O37" s="307"/>
      <c r="P37" s="307"/>
      <c r="Q37" s="307"/>
      <c r="R37" s="27"/>
      <c r="S37" s="27"/>
      <c r="T37" s="27"/>
      <c r="U37" s="27"/>
      <c r="V37" s="27"/>
      <c r="W37" s="27"/>
    </row>
    <row r="38" spans="1:23" ht="12.75" x14ac:dyDescent="0.2">
      <c r="A38" s="307"/>
      <c r="B38" s="307"/>
      <c r="C38" s="307"/>
      <c r="D38" s="307"/>
      <c r="E38" s="307"/>
      <c r="F38" s="307"/>
      <c r="G38" s="307"/>
      <c r="H38" s="307"/>
      <c r="I38" s="307"/>
      <c r="J38" s="307"/>
      <c r="K38" s="307"/>
      <c r="L38" s="307"/>
      <c r="M38" s="307"/>
      <c r="N38" s="307"/>
      <c r="O38" s="307"/>
      <c r="P38" s="307"/>
      <c r="Q38" s="307"/>
      <c r="R38" s="27"/>
      <c r="S38" s="27"/>
      <c r="T38" s="27"/>
      <c r="U38" s="27"/>
      <c r="V38" s="27"/>
      <c r="W38" s="27"/>
    </row>
    <row r="39" spans="1:23" ht="12.75" x14ac:dyDescent="0.2">
      <c r="A39" s="307"/>
      <c r="B39" s="307"/>
      <c r="C39" s="307"/>
      <c r="D39" s="307"/>
      <c r="E39" s="307"/>
      <c r="F39" s="307"/>
      <c r="G39" s="307"/>
      <c r="H39" s="307"/>
      <c r="I39" s="307"/>
      <c r="J39" s="307"/>
      <c r="K39" s="307"/>
      <c r="L39" s="307"/>
      <c r="M39" s="307"/>
      <c r="N39" s="307"/>
      <c r="O39" s="307"/>
      <c r="P39" s="307"/>
      <c r="Q39" s="307"/>
      <c r="R39" s="27"/>
      <c r="S39" s="27"/>
      <c r="T39" s="27"/>
      <c r="U39" s="27"/>
      <c r="V39" s="27"/>
      <c r="W39" s="27"/>
    </row>
    <row r="40" spans="1:23" ht="12.75" x14ac:dyDescent="0.2">
      <c r="A40" s="307"/>
      <c r="B40" s="307"/>
      <c r="C40" s="307"/>
      <c r="D40" s="307"/>
      <c r="E40" s="307"/>
      <c r="F40" s="307"/>
      <c r="G40" s="307"/>
      <c r="H40" s="307"/>
      <c r="I40" s="307"/>
      <c r="J40" s="307"/>
      <c r="K40" s="307"/>
      <c r="L40" s="307"/>
      <c r="M40" s="307"/>
      <c r="N40" s="307"/>
      <c r="O40" s="307"/>
      <c r="P40" s="307"/>
      <c r="Q40" s="307"/>
      <c r="R40" s="27"/>
      <c r="S40" s="27"/>
      <c r="T40" s="27"/>
      <c r="U40" s="27"/>
      <c r="V40" s="27"/>
      <c r="W40" s="27"/>
    </row>
    <row r="41" spans="1:23" ht="12.75" x14ac:dyDescent="0.2">
      <c r="A41" s="307"/>
      <c r="B41" s="307"/>
      <c r="C41" s="307"/>
      <c r="D41" s="307"/>
      <c r="E41" s="307"/>
      <c r="F41" s="307"/>
      <c r="G41" s="307"/>
      <c r="H41" s="307"/>
      <c r="I41" s="307"/>
      <c r="J41" s="307"/>
      <c r="K41" s="307"/>
      <c r="L41" s="307"/>
      <c r="M41" s="307"/>
      <c r="N41" s="307"/>
      <c r="O41" s="307"/>
      <c r="P41" s="307"/>
      <c r="Q41" s="307"/>
      <c r="R41" s="27"/>
      <c r="S41" s="27"/>
      <c r="T41" s="27"/>
      <c r="U41" s="27"/>
      <c r="V41" s="27"/>
      <c r="W41" s="27"/>
    </row>
    <row r="42" spans="1:23" ht="12.75" x14ac:dyDescent="0.2">
      <c r="A42" s="307"/>
      <c r="B42" s="307"/>
      <c r="C42" s="307"/>
      <c r="D42" s="307"/>
      <c r="E42" s="307"/>
      <c r="F42" s="307"/>
      <c r="G42" s="307"/>
      <c r="H42" s="307"/>
      <c r="I42" s="307"/>
      <c r="J42" s="307"/>
      <c r="K42" s="307"/>
      <c r="L42" s="307"/>
      <c r="M42" s="307"/>
      <c r="N42" s="307"/>
      <c r="O42" s="307"/>
      <c r="P42" s="307"/>
      <c r="Q42" s="307"/>
      <c r="R42" s="27"/>
      <c r="S42" s="27"/>
      <c r="T42" s="27"/>
      <c r="U42" s="27"/>
      <c r="V42" s="27"/>
      <c r="W42" s="27"/>
    </row>
    <row r="43" spans="1:23" ht="12.75" x14ac:dyDescent="0.2">
      <c r="A43" s="307"/>
      <c r="B43" s="307"/>
      <c r="C43" s="307"/>
      <c r="D43" s="307"/>
      <c r="E43" s="307"/>
      <c r="F43" s="307"/>
      <c r="G43" s="307"/>
      <c r="H43" s="307"/>
      <c r="I43" s="307"/>
      <c r="J43" s="307"/>
      <c r="K43" s="307"/>
      <c r="L43" s="307"/>
      <c r="M43" s="307"/>
      <c r="N43" s="307"/>
      <c r="O43" s="307"/>
      <c r="P43" s="307"/>
      <c r="Q43" s="307"/>
      <c r="R43" s="27"/>
      <c r="S43" s="27"/>
      <c r="T43" s="27"/>
      <c r="U43" s="27"/>
      <c r="V43" s="27"/>
      <c r="W43" s="27"/>
    </row>
    <row r="44" spans="1:23" ht="12.75" x14ac:dyDescent="0.2">
      <c r="A44" s="307"/>
      <c r="B44" s="307"/>
      <c r="C44" s="307"/>
      <c r="D44" s="307"/>
      <c r="E44" s="307"/>
      <c r="F44" s="307"/>
      <c r="G44" s="307"/>
      <c r="H44" s="307"/>
      <c r="I44" s="307"/>
      <c r="J44" s="307"/>
      <c r="K44" s="307"/>
      <c r="L44" s="307"/>
      <c r="M44" s="307"/>
      <c r="N44" s="307"/>
      <c r="O44" s="307"/>
      <c r="P44" s="307"/>
      <c r="Q44" s="307"/>
      <c r="R44" s="27"/>
      <c r="S44" s="27"/>
      <c r="T44" s="27"/>
      <c r="U44" s="27"/>
      <c r="V44" s="27"/>
      <c r="W44" s="27"/>
    </row>
    <row r="45" spans="1:23" ht="12.75" x14ac:dyDescent="0.2">
      <c r="A45" s="307"/>
      <c r="B45" s="307"/>
      <c r="C45" s="307"/>
      <c r="D45" s="307"/>
      <c r="E45" s="307"/>
      <c r="F45" s="307"/>
      <c r="G45" s="307"/>
      <c r="H45" s="307"/>
      <c r="I45" s="307"/>
      <c r="J45" s="307"/>
      <c r="K45" s="307"/>
      <c r="L45" s="307"/>
      <c r="M45" s="307"/>
      <c r="N45" s="307"/>
      <c r="O45" s="307"/>
      <c r="P45" s="307"/>
      <c r="Q45" s="307"/>
      <c r="R45" s="27"/>
      <c r="S45" s="27"/>
      <c r="T45" s="27"/>
      <c r="U45" s="27"/>
      <c r="V45" s="27"/>
      <c r="W45" s="27"/>
    </row>
    <row r="46" spans="1:23" ht="12.75" x14ac:dyDescent="0.2">
      <c r="A46" s="307"/>
      <c r="B46" s="307"/>
      <c r="C46" s="307"/>
      <c r="D46" s="307"/>
      <c r="E46" s="307"/>
      <c r="F46" s="307"/>
      <c r="G46" s="307"/>
      <c r="H46" s="307"/>
      <c r="I46" s="307"/>
      <c r="J46" s="307"/>
      <c r="K46" s="307"/>
      <c r="L46" s="307"/>
      <c r="M46" s="307"/>
      <c r="N46" s="307"/>
      <c r="O46" s="307"/>
      <c r="P46" s="307"/>
      <c r="Q46" s="307"/>
      <c r="R46" s="27"/>
      <c r="S46" s="27"/>
      <c r="T46" s="27"/>
      <c r="U46" s="27"/>
      <c r="V46" s="27"/>
      <c r="W46" s="27"/>
    </row>
    <row r="47" spans="1:23" ht="12.75" x14ac:dyDescent="0.2">
      <c r="A47" s="307"/>
      <c r="B47" s="307"/>
      <c r="C47" s="307"/>
      <c r="D47" s="307"/>
      <c r="E47" s="307"/>
      <c r="F47" s="307"/>
      <c r="G47" s="307"/>
      <c r="H47" s="307"/>
      <c r="I47" s="307"/>
      <c r="J47" s="307"/>
      <c r="K47" s="307"/>
      <c r="L47" s="307"/>
      <c r="M47" s="307"/>
      <c r="N47" s="307"/>
      <c r="O47" s="307"/>
      <c r="P47" s="307"/>
      <c r="Q47" s="307"/>
      <c r="R47" s="27"/>
      <c r="S47" s="27"/>
      <c r="T47" s="27"/>
      <c r="U47" s="27"/>
      <c r="V47" s="27"/>
      <c r="W47" s="27"/>
    </row>
    <row r="48" spans="1:23" ht="12.75" x14ac:dyDescent="0.2">
      <c r="A48" s="307"/>
      <c r="B48" s="307"/>
      <c r="C48" s="307"/>
      <c r="D48" s="307"/>
      <c r="E48" s="307"/>
      <c r="F48" s="307"/>
      <c r="G48" s="307"/>
      <c r="H48" s="307"/>
      <c r="I48" s="307"/>
      <c r="J48" s="307"/>
      <c r="K48" s="307"/>
      <c r="L48" s="307"/>
      <c r="M48" s="307"/>
      <c r="N48" s="307"/>
      <c r="O48" s="307"/>
      <c r="P48" s="307"/>
      <c r="Q48" s="307"/>
      <c r="R48" s="27"/>
      <c r="S48" s="27"/>
      <c r="T48" s="27"/>
      <c r="U48" s="27"/>
      <c r="V48" s="27"/>
      <c r="W48" s="27"/>
    </row>
    <row r="49" spans="1:23" ht="12.75" x14ac:dyDescent="0.2">
      <c r="A49" s="307"/>
      <c r="B49" s="307"/>
      <c r="C49" s="307"/>
      <c r="D49" s="307"/>
      <c r="E49" s="307"/>
      <c r="F49" s="307"/>
      <c r="G49" s="307"/>
      <c r="H49" s="307"/>
      <c r="I49" s="307"/>
      <c r="J49" s="307"/>
      <c r="K49" s="307"/>
      <c r="L49" s="307"/>
      <c r="M49" s="307"/>
      <c r="N49" s="307"/>
      <c r="O49" s="307"/>
      <c r="P49" s="307"/>
      <c r="Q49" s="307"/>
      <c r="R49" s="27"/>
      <c r="S49" s="27"/>
      <c r="T49" s="27"/>
      <c r="U49" s="27"/>
      <c r="V49" s="27"/>
      <c r="W49" s="27"/>
    </row>
    <row r="50" spans="1:23" ht="12.75" x14ac:dyDescent="0.2">
      <c r="A50" s="307"/>
      <c r="B50" s="307"/>
      <c r="C50" s="307"/>
      <c r="D50" s="307"/>
      <c r="E50" s="307"/>
      <c r="F50" s="307"/>
      <c r="G50" s="307"/>
      <c r="H50" s="307"/>
      <c r="I50" s="307"/>
      <c r="J50" s="307"/>
      <c r="K50" s="307"/>
      <c r="L50" s="307"/>
      <c r="M50" s="307"/>
      <c r="N50" s="307"/>
      <c r="O50" s="307"/>
      <c r="P50" s="307"/>
      <c r="Q50" s="307"/>
      <c r="R50" s="27"/>
      <c r="S50" s="27"/>
      <c r="T50" s="27"/>
      <c r="U50" s="27"/>
      <c r="V50" s="27"/>
      <c r="W50" s="27"/>
    </row>
    <row r="51" spans="1:23" ht="12.75" x14ac:dyDescent="0.2">
      <c r="A51" s="307"/>
      <c r="B51" s="307"/>
      <c r="C51" s="307"/>
      <c r="D51" s="307"/>
      <c r="E51" s="307"/>
      <c r="F51" s="307"/>
      <c r="G51" s="307"/>
      <c r="H51" s="307"/>
      <c r="I51" s="307"/>
      <c r="J51" s="307"/>
      <c r="K51" s="307"/>
      <c r="L51" s="307"/>
      <c r="M51" s="307"/>
      <c r="N51" s="307"/>
      <c r="O51" s="307"/>
      <c r="P51" s="307"/>
      <c r="Q51" s="307"/>
      <c r="R51" s="27"/>
      <c r="S51" s="27"/>
      <c r="T51" s="27"/>
      <c r="U51" s="27"/>
      <c r="V51" s="27"/>
      <c r="W51" s="27"/>
    </row>
    <row r="52" spans="1:23" ht="12.75" x14ac:dyDescent="0.2">
      <c r="A52" s="307"/>
      <c r="B52" s="307"/>
      <c r="C52" s="307"/>
      <c r="D52" s="307"/>
      <c r="E52" s="307"/>
      <c r="F52" s="307"/>
      <c r="G52" s="307"/>
      <c r="H52" s="307"/>
      <c r="I52" s="307"/>
      <c r="J52" s="307"/>
      <c r="K52" s="307"/>
      <c r="L52" s="307"/>
      <c r="M52" s="307"/>
      <c r="N52" s="307"/>
      <c r="O52" s="307"/>
      <c r="P52" s="307"/>
      <c r="Q52" s="307"/>
      <c r="R52" s="27"/>
      <c r="S52" s="27"/>
      <c r="T52" s="27"/>
      <c r="U52" s="27"/>
      <c r="V52" s="27"/>
      <c r="W52" s="27"/>
    </row>
    <row r="53" spans="1:23" ht="12.75" x14ac:dyDescent="0.2">
      <c r="A53" s="307"/>
      <c r="B53" s="307"/>
      <c r="C53" s="307"/>
      <c r="D53" s="307"/>
      <c r="E53" s="307"/>
      <c r="F53" s="307"/>
      <c r="G53" s="307"/>
      <c r="H53" s="307"/>
      <c r="I53" s="307"/>
      <c r="J53" s="307"/>
      <c r="K53" s="307"/>
      <c r="L53" s="307"/>
      <c r="M53" s="307"/>
      <c r="N53" s="307"/>
      <c r="O53" s="307"/>
      <c r="P53" s="307"/>
      <c r="Q53" s="307"/>
      <c r="R53" s="27"/>
      <c r="S53" s="27"/>
      <c r="T53" s="27"/>
      <c r="U53" s="27"/>
      <c r="V53" s="27"/>
      <c r="W53" s="27"/>
    </row>
    <row r="54" spans="1:23" ht="12.75" x14ac:dyDescent="0.2">
      <c r="A54" s="307"/>
      <c r="B54" s="307"/>
      <c r="C54" s="307"/>
      <c r="D54" s="307"/>
      <c r="E54" s="307"/>
      <c r="F54" s="307"/>
      <c r="G54" s="307"/>
      <c r="H54" s="307"/>
      <c r="I54" s="307"/>
      <c r="J54" s="307"/>
      <c r="K54" s="307"/>
      <c r="L54" s="307"/>
      <c r="M54" s="307"/>
      <c r="N54" s="307"/>
      <c r="O54" s="307"/>
      <c r="P54" s="307"/>
      <c r="Q54" s="307"/>
      <c r="R54" s="27"/>
      <c r="S54" s="27"/>
      <c r="T54" s="27"/>
      <c r="U54" s="27"/>
      <c r="V54" s="27"/>
      <c r="W54" s="27"/>
    </row>
    <row r="55" spans="1:23" ht="12.75" x14ac:dyDescent="0.2">
      <c r="A55" s="307"/>
      <c r="B55" s="307"/>
      <c r="C55" s="307"/>
      <c r="D55" s="307"/>
      <c r="E55" s="307"/>
      <c r="F55" s="307"/>
      <c r="G55" s="307"/>
      <c r="H55" s="307"/>
      <c r="I55" s="307"/>
      <c r="J55" s="307"/>
      <c r="K55" s="307"/>
      <c r="L55" s="307"/>
      <c r="M55" s="307"/>
      <c r="N55" s="307"/>
      <c r="O55" s="307"/>
      <c r="P55" s="307"/>
      <c r="Q55" s="307"/>
      <c r="R55" s="27"/>
      <c r="S55" s="27"/>
      <c r="T55" s="27"/>
      <c r="U55" s="27"/>
      <c r="V55" s="27"/>
      <c r="W55" s="27"/>
    </row>
    <row r="56" spans="1:23" ht="12.75" x14ac:dyDescent="0.2">
      <c r="A56" s="307"/>
      <c r="B56" s="307"/>
      <c r="C56" s="307"/>
      <c r="D56" s="307"/>
      <c r="E56" s="307"/>
      <c r="F56" s="307"/>
      <c r="G56" s="307"/>
      <c r="H56" s="307"/>
      <c r="I56" s="307"/>
      <c r="J56" s="307"/>
      <c r="K56" s="307"/>
      <c r="L56" s="307"/>
      <c r="M56" s="307"/>
      <c r="N56" s="307"/>
      <c r="O56" s="307"/>
      <c r="P56" s="307"/>
      <c r="Q56" s="307"/>
      <c r="R56" s="27"/>
      <c r="S56" s="27"/>
      <c r="T56" s="27"/>
      <c r="U56" s="27"/>
      <c r="V56" s="27"/>
      <c r="W56" s="27"/>
    </row>
    <row r="57" spans="1:23" ht="12.75" x14ac:dyDescent="0.2">
      <c r="A57" s="307"/>
      <c r="B57" s="307"/>
      <c r="C57" s="307"/>
      <c r="D57" s="307"/>
      <c r="E57" s="307"/>
      <c r="F57" s="307"/>
      <c r="G57" s="307"/>
      <c r="H57" s="307"/>
      <c r="I57" s="307"/>
      <c r="J57" s="307"/>
      <c r="K57" s="307"/>
      <c r="L57" s="307"/>
      <c r="M57" s="307"/>
      <c r="N57" s="307"/>
      <c r="O57" s="307"/>
      <c r="P57" s="307"/>
      <c r="Q57" s="307"/>
      <c r="R57" s="27"/>
      <c r="S57" s="27"/>
      <c r="T57" s="27"/>
      <c r="U57" s="27"/>
      <c r="V57" s="27"/>
      <c r="W57" s="27"/>
    </row>
    <row r="58" spans="1:23" x14ac:dyDescent="0.15">
      <c r="A58" s="85"/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</row>
    <row r="59" spans="1:23" x14ac:dyDescent="0.15">
      <c r="A59" s="85"/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</row>
    <row r="60" spans="1:23" x14ac:dyDescent="0.15">
      <c r="A60" s="85"/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</row>
    <row r="61" spans="1:23" x14ac:dyDescent="0.15">
      <c r="A61" s="85"/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</row>
    <row r="62" spans="1:23" x14ac:dyDescent="0.15">
      <c r="A62" s="85"/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</row>
    <row r="63" spans="1:23" x14ac:dyDescent="0.15">
      <c r="A63" s="85"/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</row>
    <row r="64" spans="1:23" x14ac:dyDescent="0.15">
      <c r="A64" s="85"/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</row>
    <row r="65" spans="1:17" x14ac:dyDescent="0.15">
      <c r="A65" s="85"/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</row>
    <row r="66" spans="1:17" x14ac:dyDescent="0.15">
      <c r="A66" s="85"/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</row>
    <row r="67" spans="1:17" x14ac:dyDescent="0.15">
      <c r="A67" s="85"/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</row>
    <row r="68" spans="1:17" x14ac:dyDescent="0.15">
      <c r="A68" s="85"/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</row>
    <row r="69" spans="1:17" x14ac:dyDescent="0.15">
      <c r="A69" s="85"/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</row>
  </sheetData>
  <phoneticPr fontId="0" type="noConversion"/>
  <printOptions gridLines="1" gridLinesSet="0"/>
  <pageMargins left="0.75" right="0.75" top="1" bottom="1" header="0.5" footer="0.5"/>
  <pageSetup scale="85" orientation="landscape" horizontalDpi="4294967292" verticalDpi="300" r:id="rId1"/>
  <headerFooter alignWithMargins="0">
    <oddFooter>&amp;L&amp;"Arial,Regular"Developed by Aldo Baietti, The World Bank, (202) 473-2750&amp;R&amp;"Arial,Regular"&amp;D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O19"/>
  <sheetViews>
    <sheetView windowProtection="1" topLeftCell="A7" workbookViewId="0">
      <selection activeCell="B11" sqref="B11"/>
    </sheetView>
  </sheetViews>
  <sheetFormatPr defaultRowHeight="12" x14ac:dyDescent="0.15"/>
  <cols>
    <col min="1" max="1" width="18.125" style="379" customWidth="1"/>
    <col min="2" max="2" width="12.5" style="379" customWidth="1"/>
    <col min="3" max="3" width="11.25" style="379" customWidth="1"/>
    <col min="4" max="4" width="14" style="379" bestFit="1" customWidth="1"/>
    <col min="5" max="15" width="9.875" style="379" bestFit="1" customWidth="1"/>
    <col min="16" max="16384" width="9" style="379"/>
  </cols>
  <sheetData>
    <row r="2" spans="1:15" ht="12.75" x14ac:dyDescent="0.2">
      <c r="A2" s="475" t="str">
        <f>Assumptions!B8</f>
        <v>Million FMs</v>
      </c>
      <c r="B2" s="476">
        <f>'Output Statements'!B92</f>
        <v>2018</v>
      </c>
      <c r="C2" s="476">
        <f>'Output Statements'!C92</f>
        <v>2019</v>
      </c>
      <c r="D2" s="476">
        <f>'Output Statements'!D92</f>
        <v>2020</v>
      </c>
      <c r="E2" s="476">
        <f>'Output Statements'!E92</f>
        <v>2021</v>
      </c>
      <c r="F2" s="476">
        <f>'Output Statements'!F92</f>
        <v>2022</v>
      </c>
      <c r="G2" s="476">
        <f>'Output Statements'!G92</f>
        <v>2023</v>
      </c>
      <c r="H2" s="476">
        <f>'Output Statements'!H92</f>
        <v>2024</v>
      </c>
      <c r="I2" s="476">
        <f>'Output Statements'!I92</f>
        <v>2025</v>
      </c>
      <c r="J2" s="476">
        <f>'Output Statements'!J92</f>
        <v>2026</v>
      </c>
      <c r="K2" s="476">
        <f>'Output Statements'!K92</f>
        <v>2027</v>
      </c>
      <c r="L2" s="476">
        <f>'Output Statements'!L92</f>
        <v>2028</v>
      </c>
      <c r="M2" s="476">
        <f>'Output Statements'!M92</f>
        <v>2029</v>
      </c>
      <c r="N2" s="476">
        <f>'Output Statements'!N92</f>
        <v>2030</v>
      </c>
      <c r="O2" s="476">
        <f>'Output Statements'!O92</f>
        <v>2031</v>
      </c>
    </row>
    <row r="3" spans="1:15" ht="12.75" x14ac:dyDescent="0.2">
      <c r="A3" s="477" t="str">
        <f>'Output Statements'!A97</f>
        <v xml:space="preserve">  Operating Cash Flow</v>
      </c>
      <c r="B3" s="478">
        <f>'Output Statements'!B97</f>
        <v>1001.8546311320754</v>
      </c>
      <c r="C3" s="478">
        <f>'Output Statements'!C97</f>
        <v>976.46588113207531</v>
      </c>
      <c r="D3" s="478">
        <f>'Output Statements'!D97</f>
        <v>984.78763113207538</v>
      </c>
      <c r="E3" s="478">
        <f>'Output Statements'!E97</f>
        <v>975.96728113207541</v>
      </c>
      <c r="F3" s="478">
        <f>'Output Statements'!F97</f>
        <v>958.57535113207518</v>
      </c>
      <c r="G3" s="478">
        <f>'Output Statements'!G97</f>
        <v>948.89773713207546</v>
      </c>
      <c r="H3" s="478">
        <f>'Output Statements'!H97</f>
        <v>955.27725993207537</v>
      </c>
      <c r="I3" s="478">
        <f>'Output Statements'!I97</f>
        <v>961.64535537207553</v>
      </c>
      <c r="J3" s="478">
        <f>'Output Statements'!J97</f>
        <v>968.01573628407527</v>
      </c>
      <c r="K3" s="478">
        <f>'Output Statements'!K97</f>
        <v>974.38566010167528</v>
      </c>
      <c r="L3" s="478">
        <f>'Output Statements'!L97</f>
        <v>980.75567533815524</v>
      </c>
      <c r="M3" s="478">
        <f>'Output Statements'!M97</f>
        <v>987.12567229085948</v>
      </c>
      <c r="N3" s="478">
        <f>'Output Statements'!N97</f>
        <v>993.4956729003186</v>
      </c>
      <c r="O3" s="478">
        <f>'Output Statements'!O97</f>
        <v>999.86567277842687</v>
      </c>
    </row>
    <row r="4" spans="1:15" ht="13.5" thickBot="1" x14ac:dyDescent="0.25">
      <c r="A4" s="477" t="str">
        <f>'Output Statements'!A111</f>
        <v xml:space="preserve">  Annual Capital Investment</v>
      </c>
      <c r="B4" s="479">
        <f>'Output Statements'!B111</f>
        <v>0</v>
      </c>
      <c r="C4" s="479">
        <f>'Output Statements'!C111</f>
        <v>0</v>
      </c>
      <c r="D4" s="479">
        <f>'Output Statements'!D111</f>
        <v>0</v>
      </c>
      <c r="E4" s="479">
        <f>'Output Statements'!E111</f>
        <v>0</v>
      </c>
      <c r="F4" s="479">
        <f>'Output Statements'!F111</f>
        <v>0</v>
      </c>
      <c r="G4" s="479">
        <f>'Output Statements'!G111</f>
        <v>0</v>
      </c>
      <c r="H4" s="479">
        <f>'Output Statements'!H111</f>
        <v>0</v>
      </c>
      <c r="I4" s="479">
        <f>'Output Statements'!I111</f>
        <v>0</v>
      </c>
      <c r="J4" s="479">
        <f>'Output Statements'!J111</f>
        <v>0</v>
      </c>
      <c r="K4" s="479">
        <f>'Output Statements'!K111</f>
        <v>0</v>
      </c>
      <c r="L4" s="479">
        <f>'Output Statements'!L111</f>
        <v>0</v>
      </c>
      <c r="M4" s="479">
        <f>'Output Statements'!M111</f>
        <v>0</v>
      </c>
      <c r="N4" s="479">
        <f>'Output Statements'!N111</f>
        <v>0</v>
      </c>
      <c r="O4" s="479">
        <f>'Output Statements'!O111</f>
        <v>0</v>
      </c>
    </row>
    <row r="5" spans="1:15" ht="12.75" x14ac:dyDescent="0.2">
      <c r="A5" s="477" t="s">
        <v>291</v>
      </c>
      <c r="B5" s="480">
        <f>B3-B4</f>
        <v>1001.8546311320754</v>
      </c>
      <c r="C5" s="480">
        <f t="shared" ref="C5:O5" si="0">C3-C4</f>
        <v>976.46588113207531</v>
      </c>
      <c r="D5" s="480">
        <f t="shared" si="0"/>
        <v>984.78763113207538</v>
      </c>
      <c r="E5" s="480">
        <f t="shared" si="0"/>
        <v>975.96728113207541</v>
      </c>
      <c r="F5" s="480">
        <f t="shared" si="0"/>
        <v>958.57535113207518</v>
      </c>
      <c r="G5" s="480">
        <f t="shared" si="0"/>
        <v>948.89773713207546</v>
      </c>
      <c r="H5" s="480">
        <f t="shared" si="0"/>
        <v>955.27725993207537</v>
      </c>
      <c r="I5" s="480">
        <f t="shared" si="0"/>
        <v>961.64535537207553</v>
      </c>
      <c r="J5" s="480">
        <f t="shared" si="0"/>
        <v>968.01573628407527</v>
      </c>
      <c r="K5" s="480">
        <f t="shared" si="0"/>
        <v>974.38566010167528</v>
      </c>
      <c r="L5" s="480">
        <f t="shared" si="0"/>
        <v>980.75567533815524</v>
      </c>
      <c r="M5" s="480">
        <f t="shared" si="0"/>
        <v>987.12567229085948</v>
      </c>
      <c r="N5" s="480">
        <f t="shared" si="0"/>
        <v>993.4956729003186</v>
      </c>
      <c r="O5" s="480">
        <f t="shared" si="0"/>
        <v>999.86567277842687</v>
      </c>
    </row>
    <row r="9" spans="1:15" ht="12.75" thickBot="1" x14ac:dyDescent="0.2">
      <c r="B9" s="481"/>
      <c r="C9" s="481"/>
    </row>
    <row r="10" spans="1:15" ht="19.5" x14ac:dyDescent="0.3">
      <c r="A10" s="490" t="s">
        <v>289</v>
      </c>
      <c r="B10" s="491">
        <f>NPV(B12,'Output Statements'!B97:O97)-'Output Statements'!B111:O111</f>
        <v>9659.533963445987</v>
      </c>
      <c r="C10" s="482"/>
    </row>
    <row r="11" spans="1:15" ht="19.5" x14ac:dyDescent="0.3">
      <c r="A11" s="492" t="s">
        <v>290</v>
      </c>
      <c r="B11" s="493" t="e">
        <f>IRR('Output Statements'!B97:O97-'Output Statements'!B111:O111,B12)</f>
        <v>#NUM!</v>
      </c>
      <c r="C11" s="483"/>
      <c r="D11" s="483"/>
    </row>
    <row r="12" spans="1:15" ht="12.75" x14ac:dyDescent="0.2">
      <c r="A12" s="494" t="s">
        <v>293</v>
      </c>
      <c r="B12" s="495">
        <f>Dashboard!B21</f>
        <v>0.05</v>
      </c>
    </row>
    <row r="13" spans="1:15" x14ac:dyDescent="0.15">
      <c r="D13" s="484"/>
    </row>
    <row r="14" spans="1:15" x14ac:dyDescent="0.15">
      <c r="D14" s="484"/>
    </row>
    <row r="15" spans="1:15" x14ac:dyDescent="0.15">
      <c r="D15" s="484"/>
    </row>
    <row r="16" spans="1:15" x14ac:dyDescent="0.15">
      <c r="D16" s="484"/>
    </row>
    <row r="17" spans="4:5" x14ac:dyDescent="0.15">
      <c r="D17" s="484"/>
    </row>
    <row r="18" spans="4:5" x14ac:dyDescent="0.15">
      <c r="D18" s="484"/>
      <c r="E18" s="484"/>
    </row>
    <row r="19" spans="4:5" x14ac:dyDescent="0.15">
      <c r="D19" s="483"/>
    </row>
  </sheetData>
  <phoneticPr fontId="0" type="noConversion"/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B63"/>
  <sheetViews>
    <sheetView windowProtection="1" workbookViewId="0">
      <selection activeCell="A2" sqref="A2"/>
    </sheetView>
  </sheetViews>
  <sheetFormatPr defaultRowHeight="12" x14ac:dyDescent="0.15"/>
  <cols>
    <col min="3" max="3" width="10.375" customWidth="1"/>
    <col min="5" max="5" width="14" customWidth="1"/>
    <col min="6" max="6" width="10.5" customWidth="1"/>
    <col min="7" max="9" width="4.75" customWidth="1"/>
    <col min="10" max="12" width="4.625" customWidth="1"/>
    <col min="13" max="13" width="12.625" customWidth="1"/>
    <col min="14" max="14" width="8.625" customWidth="1"/>
    <col min="15" max="15" width="7.75" customWidth="1"/>
    <col min="16" max="16" width="10.875" customWidth="1"/>
  </cols>
  <sheetData>
    <row r="1" spans="1:28" x14ac:dyDescent="0.15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</row>
    <row r="2" spans="1:28" ht="23.25" x14ac:dyDescent="0.35">
      <c r="A2" s="198"/>
      <c r="B2" s="200" t="str">
        <f>Assumptions!B3</f>
        <v>simulation water company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</row>
    <row r="3" spans="1:28" ht="12.75" x14ac:dyDescent="0.2">
      <c r="A3" s="199"/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46"/>
      <c r="T3" s="46"/>
      <c r="U3" s="46"/>
      <c r="V3" s="46"/>
      <c r="W3" s="46"/>
      <c r="X3" s="46"/>
      <c r="Y3" s="46"/>
      <c r="Z3" s="46"/>
      <c r="AA3" s="46"/>
      <c r="AB3" s="46"/>
    </row>
    <row r="4" spans="1:28" x14ac:dyDescent="0.15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</row>
    <row r="5" spans="1:28" ht="12.75" thickBot="1" x14ac:dyDescent="0.2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</row>
    <row r="6" spans="1:28" x14ac:dyDescent="0.15">
      <c r="A6" s="46"/>
      <c r="B6" s="28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30"/>
      <c r="Q6" s="46"/>
      <c r="R6" s="46"/>
      <c r="S6" s="46"/>
      <c r="T6" s="46"/>
      <c r="U6" s="46"/>
      <c r="V6" s="46"/>
      <c r="W6" s="46"/>
      <c r="X6" s="46"/>
      <c r="Y6" s="46"/>
    </row>
    <row r="7" spans="1:28" ht="18" x14ac:dyDescent="0.25">
      <c r="A7" s="46"/>
      <c r="B7" s="31" t="s">
        <v>30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3"/>
      <c r="Q7" s="46"/>
      <c r="R7" s="46"/>
      <c r="S7" s="46"/>
      <c r="T7" s="46"/>
      <c r="U7" s="46"/>
      <c r="V7" s="46"/>
      <c r="W7" s="46"/>
      <c r="X7" s="46"/>
      <c r="Y7" s="46"/>
    </row>
    <row r="8" spans="1:28" ht="12.75" thickBot="1" x14ac:dyDescent="0.2">
      <c r="A8" s="46"/>
      <c r="B8" s="34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46"/>
      <c r="R8" s="46"/>
      <c r="S8" s="46"/>
      <c r="T8" s="46"/>
      <c r="U8" s="46"/>
      <c r="V8" s="46"/>
      <c r="W8" s="46"/>
      <c r="X8" s="46"/>
      <c r="Y8" s="46"/>
    </row>
    <row r="9" spans="1:28" ht="13.5" thickBot="1" x14ac:dyDescent="0.25">
      <c r="A9" s="46"/>
      <c r="B9" s="41" t="s">
        <v>31</v>
      </c>
      <c r="C9" s="42"/>
      <c r="D9" s="43" t="s">
        <v>32</v>
      </c>
      <c r="E9" s="43" t="s">
        <v>33</v>
      </c>
      <c r="F9" s="206" t="s">
        <v>34</v>
      </c>
      <c r="G9" s="214">
        <f>D10</f>
        <v>300</v>
      </c>
      <c r="H9" s="214">
        <f>D11</f>
        <v>620</v>
      </c>
      <c r="I9" s="214">
        <f>D12</f>
        <v>940</v>
      </c>
      <c r="J9" s="214">
        <f>D13</f>
        <v>1260</v>
      </c>
      <c r="K9" s="214">
        <f>D20</f>
        <v>1580</v>
      </c>
      <c r="L9" s="214">
        <f>D21</f>
        <v>1900</v>
      </c>
      <c r="M9" s="222" t="s">
        <v>35</v>
      </c>
      <c r="N9" s="240"/>
      <c r="O9" s="241" t="s">
        <v>36</v>
      </c>
      <c r="P9" s="206" t="s">
        <v>37</v>
      </c>
      <c r="Q9" s="46"/>
      <c r="R9" s="46"/>
      <c r="S9" s="46"/>
      <c r="T9" s="46"/>
      <c r="U9" s="46"/>
      <c r="V9" s="46"/>
      <c r="W9" s="46"/>
      <c r="X9" s="46"/>
      <c r="Y9" s="46"/>
    </row>
    <row r="10" spans="1:28" ht="12.75" x14ac:dyDescent="0.2">
      <c r="A10" s="46"/>
      <c r="B10" s="47" t="s">
        <v>38</v>
      </c>
      <c r="C10" s="38"/>
      <c r="D10" s="49">
        <v>300</v>
      </c>
      <c r="E10" s="207">
        <v>85384</v>
      </c>
      <c r="F10" s="234">
        <f>E10/$E$24</f>
        <v>6.9561533573395465E-2</v>
      </c>
      <c r="G10" s="215">
        <v>0.06</v>
      </c>
      <c r="H10" s="50"/>
      <c r="I10" s="50"/>
      <c r="J10" s="50"/>
      <c r="K10" s="50"/>
      <c r="L10" s="50"/>
      <c r="M10" s="229">
        <f>G10*E24*D10</f>
        <v>22094279.999999996</v>
      </c>
      <c r="N10" s="230">
        <f>M10/$M$24</f>
        <v>2.2607385079125845E-2</v>
      </c>
      <c r="O10" s="226">
        <f>M10/E10</f>
        <v>258.76370280146159</v>
      </c>
      <c r="P10" s="50">
        <v>0.20399999999999999</v>
      </c>
      <c r="Q10" s="46"/>
      <c r="R10" s="46"/>
      <c r="S10" s="46"/>
      <c r="T10" s="46"/>
      <c r="U10" s="46"/>
      <c r="V10" s="46"/>
      <c r="W10" s="46"/>
      <c r="X10" s="46"/>
      <c r="Y10" s="46"/>
    </row>
    <row r="11" spans="1:28" ht="12.75" x14ac:dyDescent="0.2">
      <c r="A11" s="46"/>
      <c r="B11" s="201" t="s">
        <v>39</v>
      </c>
      <c r="C11" s="39"/>
      <c r="D11" s="51">
        <v>620</v>
      </c>
      <c r="E11" s="210">
        <v>323277</v>
      </c>
      <c r="F11" s="232">
        <f>E11/$E$24</f>
        <v>0.26337070047089112</v>
      </c>
      <c r="G11" s="216">
        <v>0.14000000000000001</v>
      </c>
      <c r="H11" s="216">
        <v>6.5000000000000002E-2</v>
      </c>
      <c r="I11" s="52"/>
      <c r="J11" s="52"/>
      <c r="K11" s="52"/>
      <c r="L11" s="52"/>
      <c r="M11" s="231">
        <f>G11*G9*'Tariffs Analysis'!E24+H11*H9*'Tariffs Analysis'!E24</f>
        <v>101019958.00000001</v>
      </c>
      <c r="N11" s="225">
        <f>M11/$M$24</f>
        <v>0.10336598844511431</v>
      </c>
      <c r="O11" s="227">
        <f>M11/E11</f>
        <v>312.48730345802522</v>
      </c>
      <c r="P11" s="52">
        <v>0.38540000000000002</v>
      </c>
      <c r="Q11" s="46"/>
      <c r="R11" s="46"/>
      <c r="S11" s="46"/>
      <c r="T11" s="46"/>
      <c r="U11" s="46"/>
      <c r="V11" s="46"/>
      <c r="W11" s="46"/>
      <c r="X11" s="46"/>
      <c r="Y11" s="46"/>
    </row>
    <row r="12" spans="1:28" ht="12.75" x14ac:dyDescent="0.2">
      <c r="A12" s="46"/>
      <c r="B12" s="201" t="s">
        <v>40</v>
      </c>
      <c r="C12" s="39"/>
      <c r="D12" s="51">
        <v>940</v>
      </c>
      <c r="E12" s="210">
        <v>289672</v>
      </c>
      <c r="F12" s="232">
        <f>E12/$E$24</f>
        <v>0.23599302624932789</v>
      </c>
      <c r="G12" s="216">
        <v>7.0000000000000007E-2</v>
      </c>
      <c r="H12" s="216">
        <v>6.5000000000000002E-2</v>
      </c>
      <c r="I12" s="216">
        <v>0.06</v>
      </c>
      <c r="J12" s="52"/>
      <c r="K12" s="52"/>
      <c r="L12" s="52"/>
      <c r="M12" s="231">
        <f>G12*G9*'Tariffs Analysis'!E24+H12*H9*'Tariffs Analysis'!E24+I12*I9*'Tariffs Analysis'!E24</f>
        <v>144472042</v>
      </c>
      <c r="N12" s="225">
        <f>M12/$M$24</f>
        <v>0.14782717910072846</v>
      </c>
      <c r="O12" s="227">
        <f>M12/E12</f>
        <v>498.74355132701817</v>
      </c>
      <c r="P12" s="52">
        <v>0.1721</v>
      </c>
      <c r="Q12" s="46"/>
      <c r="R12" s="46"/>
      <c r="S12" s="46"/>
      <c r="T12" s="46"/>
      <c r="U12" s="46"/>
      <c r="V12" s="46"/>
      <c r="W12" s="46"/>
      <c r="X12" s="46"/>
      <c r="Y12" s="46"/>
    </row>
    <row r="13" spans="1:28" ht="12.75" x14ac:dyDescent="0.2">
      <c r="A13" s="46"/>
      <c r="B13" s="201" t="s">
        <v>41</v>
      </c>
      <c r="C13" s="39"/>
      <c r="D13" s="51">
        <v>1260</v>
      </c>
      <c r="E13" s="210">
        <v>158939</v>
      </c>
      <c r="F13" s="232">
        <f>E13/$E$24</f>
        <v>0.12948609323318072</v>
      </c>
      <c r="G13" s="216">
        <v>0.01</v>
      </c>
      <c r="H13" s="216">
        <v>0.01</v>
      </c>
      <c r="I13" s="216">
        <v>0.03</v>
      </c>
      <c r="J13" s="219">
        <v>7.0000000000000007E-2</v>
      </c>
      <c r="K13" s="52"/>
      <c r="L13" s="52"/>
      <c r="M13" s="231">
        <f>G13*G9*'Tariffs Analysis'!E24+H13*H9*'Tariffs Analysis'!E24+I13*I9*'Tariffs Analysis'!E24+J13*J9*'Tariffs Analysis'!E24</f>
        <v>154168976</v>
      </c>
      <c r="N13" s="225">
        <f>M13/$M$24</f>
        <v>0.15774930921878924</v>
      </c>
      <c r="O13" s="227">
        <f>M13/E13</f>
        <v>969.98833514744649</v>
      </c>
      <c r="P13" s="52">
        <v>1.5299999999999999E-2</v>
      </c>
      <c r="Q13" s="46"/>
      <c r="R13" s="46"/>
      <c r="S13" s="46"/>
      <c r="T13" s="46"/>
      <c r="U13" s="46"/>
      <c r="V13" s="46"/>
      <c r="W13" s="46"/>
      <c r="X13" s="46"/>
      <c r="Y13" s="46"/>
    </row>
    <row r="14" spans="1:28" ht="13.5" thickBot="1" x14ac:dyDescent="0.25">
      <c r="A14" s="46"/>
      <c r="B14" s="48"/>
      <c r="C14" s="39"/>
      <c r="D14" s="51"/>
      <c r="E14" s="204"/>
      <c r="F14" s="228"/>
      <c r="G14" s="212"/>
      <c r="H14" s="212"/>
      <c r="I14" s="212"/>
      <c r="J14" s="212"/>
      <c r="K14" s="212"/>
      <c r="L14" s="212"/>
      <c r="M14" s="232"/>
      <c r="N14" s="228"/>
      <c r="O14" s="228"/>
      <c r="P14" s="52"/>
      <c r="Q14" s="46"/>
      <c r="R14" s="46"/>
      <c r="S14" s="46"/>
      <c r="T14" s="46"/>
      <c r="U14" s="46"/>
      <c r="V14" s="46"/>
      <c r="W14" s="46"/>
      <c r="X14" s="46"/>
      <c r="Y14" s="46"/>
    </row>
    <row r="15" spans="1:28" ht="13.5" thickBot="1" x14ac:dyDescent="0.25">
      <c r="A15" s="46"/>
      <c r="B15" s="88"/>
      <c r="C15" s="89"/>
      <c r="D15" s="90"/>
      <c r="E15" s="211">
        <v>857272</v>
      </c>
      <c r="F15" s="91">
        <f t="shared" ref="F15:P15" si="0">SUM(F10:F14)</f>
        <v>0.69841135352679518</v>
      </c>
      <c r="G15" s="217">
        <f t="shared" si="0"/>
        <v>0.28000000000000003</v>
      </c>
      <c r="H15" s="217">
        <f t="shared" si="0"/>
        <v>0.14000000000000001</v>
      </c>
      <c r="I15" s="217">
        <f t="shared" si="0"/>
        <v>0.09</v>
      </c>
      <c r="J15" s="217">
        <f t="shared" si="0"/>
        <v>7.0000000000000007E-2</v>
      </c>
      <c r="K15" s="91"/>
      <c r="L15" s="91"/>
      <c r="M15" s="233">
        <f t="shared" si="0"/>
        <v>421755256</v>
      </c>
      <c r="N15" s="224">
        <f>M15/$M$24</f>
        <v>0.43154986184375788</v>
      </c>
      <c r="O15" s="237">
        <f>M15/E15</f>
        <v>491.97367463302197</v>
      </c>
      <c r="P15" s="91">
        <f t="shared" si="0"/>
        <v>0.77680000000000005</v>
      </c>
      <c r="Q15" s="46"/>
      <c r="R15" s="46"/>
      <c r="S15" s="46"/>
      <c r="T15" s="46"/>
      <c r="U15" s="46"/>
      <c r="V15" s="46"/>
      <c r="W15" s="46"/>
      <c r="X15" s="46"/>
      <c r="Y15" s="46"/>
    </row>
    <row r="16" spans="1:28" ht="13.5" thickBot="1" x14ac:dyDescent="0.25">
      <c r="A16" s="46"/>
      <c r="B16" s="92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93"/>
      <c r="Q16" s="46"/>
      <c r="R16" s="46"/>
      <c r="S16" s="46"/>
      <c r="T16" s="46"/>
      <c r="U16" s="46"/>
      <c r="V16" s="46"/>
      <c r="W16" s="46"/>
      <c r="X16" s="46"/>
      <c r="Y16" s="46"/>
    </row>
    <row r="17" spans="1:25" ht="13.5" thickBot="1" x14ac:dyDescent="0.25">
      <c r="A17" s="46"/>
      <c r="B17" s="94" t="s">
        <v>42</v>
      </c>
      <c r="C17" s="97"/>
      <c r="D17" s="98" t="s">
        <v>32</v>
      </c>
      <c r="E17" s="98" t="s">
        <v>33</v>
      </c>
      <c r="F17" s="98" t="s">
        <v>34</v>
      </c>
      <c r="G17" s="220">
        <f>D10</f>
        <v>300</v>
      </c>
      <c r="H17" s="220">
        <f>D11</f>
        <v>620</v>
      </c>
      <c r="I17" s="220">
        <f>D18</f>
        <v>940</v>
      </c>
      <c r="J17" s="220">
        <f>D19</f>
        <v>1260</v>
      </c>
      <c r="K17" s="220">
        <f>D20</f>
        <v>1580</v>
      </c>
      <c r="L17" s="220">
        <f>D21</f>
        <v>1900</v>
      </c>
      <c r="M17" s="223" t="s">
        <v>35</v>
      </c>
      <c r="N17" s="223"/>
      <c r="O17" s="223"/>
      <c r="P17" s="96" t="s">
        <v>37</v>
      </c>
      <c r="Q17" s="46"/>
      <c r="R17" s="46"/>
      <c r="S17" s="46"/>
      <c r="T17" s="46"/>
      <c r="U17" s="46"/>
      <c r="V17" s="46"/>
      <c r="W17" s="46"/>
      <c r="X17" s="46"/>
      <c r="Y17" s="46"/>
    </row>
    <row r="18" spans="1:25" ht="14.25" customHeight="1" x14ac:dyDescent="0.2">
      <c r="A18" s="46"/>
      <c r="B18" s="202" t="s">
        <v>43</v>
      </c>
      <c r="C18" s="40"/>
      <c r="D18" s="49">
        <v>940</v>
      </c>
      <c r="E18" s="208">
        <v>225111</v>
      </c>
      <c r="F18" s="235">
        <f>E18/$E$24</f>
        <v>0.18339579293826275</v>
      </c>
      <c r="G18" s="215"/>
      <c r="H18" s="215"/>
      <c r="I18" s="215">
        <v>0.26</v>
      </c>
      <c r="J18" s="215"/>
      <c r="K18" s="215"/>
      <c r="L18" s="215"/>
      <c r="M18" s="226">
        <f>I18*I17*'Tariffs Analysis'!E24</f>
        <v>299991224</v>
      </c>
      <c r="N18" s="225">
        <f>M18/$M$24</f>
        <v>0.30695805074101984</v>
      </c>
      <c r="O18" s="227">
        <f>M18/E18</f>
        <v>1332.6368946875098</v>
      </c>
      <c r="P18" s="70">
        <v>0.20219999999999999</v>
      </c>
      <c r="Q18" s="46"/>
      <c r="R18" s="46"/>
      <c r="S18" s="46"/>
      <c r="T18" s="46"/>
      <c r="U18" s="46"/>
      <c r="V18" s="46"/>
      <c r="W18" s="46"/>
      <c r="X18" s="46"/>
      <c r="Y18" s="46"/>
    </row>
    <row r="19" spans="1:25" ht="12.75" x14ac:dyDescent="0.2">
      <c r="A19" s="46"/>
      <c r="B19" s="203" t="s">
        <v>44</v>
      </c>
      <c r="C19" s="37"/>
      <c r="D19" s="51">
        <v>1260</v>
      </c>
      <c r="E19" s="209">
        <v>38388</v>
      </c>
      <c r="F19" s="232">
        <f>E19/$E$24</f>
        <v>3.1274338878659998E-2</v>
      </c>
      <c r="G19" s="216"/>
      <c r="H19" s="216"/>
      <c r="I19" s="216">
        <v>0.03</v>
      </c>
      <c r="J19" s="216">
        <v>0.01</v>
      </c>
      <c r="K19" s="216"/>
      <c r="L19" s="216"/>
      <c r="M19" s="227">
        <f>I19*I17*'Tariffs Analysis'!E24+J19*J17*'Tariffs Analysis'!E24</f>
        <v>50080368</v>
      </c>
      <c r="N19" s="225">
        <f>M19/$M$24</f>
        <v>5.124340617935192E-2</v>
      </c>
      <c r="O19" s="227">
        <f>M19/E19</f>
        <v>1304.5839324788997</v>
      </c>
      <c r="P19" s="71">
        <v>1.26E-2</v>
      </c>
      <c r="Q19" s="46"/>
      <c r="R19" s="46"/>
      <c r="S19" s="46"/>
      <c r="T19" s="46"/>
      <c r="U19" s="46"/>
      <c r="V19" s="46"/>
      <c r="W19" s="46"/>
      <c r="X19" s="46"/>
      <c r="Y19" s="46"/>
    </row>
    <row r="20" spans="1:25" ht="12.75" x14ac:dyDescent="0.2">
      <c r="A20" s="46"/>
      <c r="B20" s="203" t="s">
        <v>45</v>
      </c>
      <c r="C20" s="37"/>
      <c r="D20" s="51">
        <v>1580</v>
      </c>
      <c r="E20" s="209">
        <v>36982</v>
      </c>
      <c r="F20" s="232">
        <f>E20/$E$24</f>
        <v>3.0128884036954361E-2</v>
      </c>
      <c r="G20" s="216"/>
      <c r="H20" s="216"/>
      <c r="I20" s="216">
        <v>0.01</v>
      </c>
      <c r="J20" s="216">
        <v>0.01</v>
      </c>
      <c r="K20" s="216">
        <v>0.01</v>
      </c>
      <c r="L20" s="216"/>
      <c r="M20" s="227">
        <f>I20*I17*'Tariffs Analysis'!E24+J20*J17*'Tariffs Analysis'!E24+K20*K17*'Tariffs Analysis'!E24</f>
        <v>46397988</v>
      </c>
      <c r="N20" s="225">
        <f>M20/$M$24</f>
        <v>4.7475508666164283E-2</v>
      </c>
      <c r="O20" s="227">
        <f>M20/E20</f>
        <v>1254.6100264993781</v>
      </c>
      <c r="P20" s="71">
        <v>5.4000000000000003E-3</v>
      </c>
      <c r="Q20" s="46"/>
      <c r="R20" s="46"/>
      <c r="S20" s="46"/>
      <c r="T20" s="46"/>
      <c r="U20" s="46"/>
      <c r="V20" s="46"/>
      <c r="W20" s="46"/>
      <c r="X20" s="46"/>
      <c r="Y20" s="46"/>
    </row>
    <row r="21" spans="1:25" ht="12.75" x14ac:dyDescent="0.2">
      <c r="A21" s="46"/>
      <c r="B21" s="203" t="s">
        <v>46</v>
      </c>
      <c r="C21" s="37"/>
      <c r="D21" s="51">
        <v>1900</v>
      </c>
      <c r="E21" s="209">
        <v>69707</v>
      </c>
      <c r="F21" s="232">
        <f>E21/$E$24</f>
        <v>5.6789630619327715E-2</v>
      </c>
      <c r="G21" s="216"/>
      <c r="H21" s="216"/>
      <c r="I21" s="216">
        <v>0.01</v>
      </c>
      <c r="J21" s="216">
        <v>0.01</v>
      </c>
      <c r="K21" s="216">
        <v>0.02</v>
      </c>
      <c r="L21" s="216">
        <v>0.04</v>
      </c>
      <c r="M21" s="227">
        <f>I21*I17*'Tariffs Analysis'!E24+J21*J17*'Tariffs Analysis'!E24+K21*K17*'Tariffs Analysis'!E24+L21*L17*'Tariffs Analysis'!E24</f>
        <v>159078816</v>
      </c>
      <c r="N21" s="225">
        <f>M21/$M$24</f>
        <v>0.16277317256970611</v>
      </c>
      <c r="O21" s="227">
        <f>M21/E21</f>
        <v>2282.1067611574163</v>
      </c>
      <c r="P21" s="71">
        <v>3.0000000000000001E-3</v>
      </c>
      <c r="Q21" s="46"/>
      <c r="R21" s="46"/>
      <c r="S21" s="46"/>
      <c r="T21" s="46"/>
      <c r="U21" s="46"/>
      <c r="V21" s="46"/>
      <c r="W21" s="46"/>
      <c r="X21" s="46"/>
      <c r="Y21" s="46"/>
    </row>
    <row r="22" spans="1:25" ht="13.5" thickBot="1" x14ac:dyDescent="0.25">
      <c r="A22" s="46"/>
      <c r="B22" s="53"/>
      <c r="C22" s="37"/>
      <c r="D22" s="51"/>
      <c r="E22" s="51"/>
      <c r="F22" s="236"/>
      <c r="G22" s="52"/>
      <c r="H22" s="52"/>
      <c r="I22" s="52"/>
      <c r="J22" s="52"/>
      <c r="K22" s="52"/>
      <c r="L22" s="52"/>
      <c r="M22" s="228"/>
      <c r="N22" s="225"/>
      <c r="O22" s="225"/>
      <c r="P22" s="71"/>
      <c r="Q22" s="46"/>
      <c r="R22" s="46"/>
      <c r="S22" s="46"/>
      <c r="T22" s="46"/>
      <c r="U22" s="46"/>
      <c r="V22" s="46"/>
      <c r="W22" s="46"/>
      <c r="X22" s="46"/>
      <c r="Y22" s="46"/>
    </row>
    <row r="23" spans="1:25" ht="13.5" thickBot="1" x14ac:dyDescent="0.25">
      <c r="A23" s="46"/>
      <c r="B23" s="99"/>
      <c r="C23" s="89"/>
      <c r="D23" s="100"/>
      <c r="E23" s="101">
        <v>370188</v>
      </c>
      <c r="F23" s="44">
        <f t="shared" ref="F23:P23" si="1">SUM(F18:F22)</f>
        <v>0.30158864647320482</v>
      </c>
      <c r="G23" s="218">
        <f t="shared" si="1"/>
        <v>0</v>
      </c>
      <c r="H23" s="218">
        <f t="shared" si="1"/>
        <v>0</v>
      </c>
      <c r="I23" s="218">
        <f t="shared" si="1"/>
        <v>0.31000000000000005</v>
      </c>
      <c r="J23" s="218">
        <f t="shared" si="1"/>
        <v>0.03</v>
      </c>
      <c r="K23" s="218">
        <f t="shared" si="1"/>
        <v>0.03</v>
      </c>
      <c r="L23" s="218">
        <f t="shared" si="1"/>
        <v>0.04</v>
      </c>
      <c r="M23" s="221">
        <f t="shared" si="1"/>
        <v>555548396</v>
      </c>
      <c r="N23" s="224">
        <f>M23/$M$24</f>
        <v>0.56845013815624212</v>
      </c>
      <c r="O23" s="242">
        <f>M23/E23</f>
        <v>1500.7196235426325</v>
      </c>
      <c r="P23" s="44">
        <f t="shared" si="1"/>
        <v>0.22319999999999998</v>
      </c>
      <c r="Q23" s="46"/>
      <c r="R23" s="46"/>
      <c r="S23" s="46"/>
      <c r="T23" s="46"/>
      <c r="U23" s="46"/>
      <c r="V23" s="46"/>
      <c r="W23" s="46"/>
      <c r="X23" s="46"/>
      <c r="Y23" s="46"/>
    </row>
    <row r="24" spans="1:25" ht="13.5" thickBot="1" x14ac:dyDescent="0.25">
      <c r="A24" s="46"/>
      <c r="B24" s="213"/>
      <c r="C24" s="89"/>
      <c r="D24" s="89"/>
      <c r="E24" s="97">
        <f>+E23+E15</f>
        <v>1227460</v>
      </c>
      <c r="F24" s="260">
        <f>+F23+F15</f>
        <v>1</v>
      </c>
      <c r="G24" s="261">
        <f t="shared" ref="G24:L24" si="2">+G23+G15</f>
        <v>0.28000000000000003</v>
      </c>
      <c r="H24" s="261">
        <f t="shared" si="2"/>
        <v>0.14000000000000001</v>
      </c>
      <c r="I24" s="261">
        <f t="shared" si="2"/>
        <v>0.4</v>
      </c>
      <c r="J24" s="261">
        <f t="shared" si="2"/>
        <v>0.1</v>
      </c>
      <c r="K24" s="261">
        <f t="shared" si="2"/>
        <v>0.03</v>
      </c>
      <c r="L24" s="261">
        <f t="shared" si="2"/>
        <v>0.04</v>
      </c>
      <c r="M24" s="262">
        <f>(E24*G24*G9)+(E24*H24*H9)+(E24*I24*I9)+(E24*J24*J9)+(E24*K24*K9)+(E24*L24*L9)</f>
        <v>977303652</v>
      </c>
      <c r="N24" s="224">
        <f>M24/$M$24</f>
        <v>1</v>
      </c>
      <c r="O24" s="237">
        <f>M24/E24</f>
        <v>796.2</v>
      </c>
      <c r="P24" s="260">
        <f>+P23+P15</f>
        <v>1</v>
      </c>
      <c r="Q24" s="46"/>
      <c r="R24" s="46"/>
      <c r="S24" s="46"/>
      <c r="T24" s="46"/>
      <c r="U24" s="46"/>
      <c r="V24" s="46"/>
      <c r="W24" s="46"/>
      <c r="X24" s="46"/>
      <c r="Y24" s="46"/>
    </row>
    <row r="25" spans="1:25" ht="12.75" thickBot="1" x14ac:dyDescent="0.2">
      <c r="A25" s="46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46"/>
      <c r="R25" s="46"/>
      <c r="S25" s="46"/>
      <c r="T25" s="46"/>
      <c r="U25" s="46"/>
      <c r="V25" s="46"/>
      <c r="W25" s="46"/>
      <c r="X25" s="46"/>
      <c r="Y25" s="46"/>
    </row>
    <row r="26" spans="1:25" ht="13.5" thickBot="1" x14ac:dyDescent="0.25">
      <c r="A26" s="46"/>
      <c r="B26" s="94" t="s">
        <v>47</v>
      </c>
      <c r="C26" s="95"/>
      <c r="D26" s="95"/>
      <c r="E26" s="101"/>
      <c r="F26" s="280"/>
      <c r="G26" s="271"/>
      <c r="H26" s="272"/>
      <c r="I26" s="272"/>
      <c r="J26" s="272"/>
      <c r="K26" s="272"/>
      <c r="L26" s="272"/>
      <c r="M26" s="272"/>
      <c r="N26" s="272"/>
      <c r="O26" s="272"/>
      <c r="P26" s="3"/>
      <c r="Q26" s="46"/>
      <c r="R26" s="46"/>
      <c r="S26" s="46"/>
      <c r="T26" s="46"/>
      <c r="U26" s="46"/>
      <c r="V26" s="46"/>
      <c r="W26" s="46"/>
      <c r="X26" s="46"/>
      <c r="Y26" s="46"/>
    </row>
    <row r="27" spans="1:25" ht="13.5" thickBot="1" x14ac:dyDescent="0.25">
      <c r="A27" s="46"/>
      <c r="B27" s="94" t="s">
        <v>48</v>
      </c>
      <c r="C27" s="95"/>
      <c r="D27" s="98" t="s">
        <v>32</v>
      </c>
      <c r="E27" s="98" t="s">
        <v>49</v>
      </c>
      <c r="F27" s="98" t="s">
        <v>32</v>
      </c>
      <c r="G27" s="95"/>
      <c r="H27" s="95"/>
      <c r="I27" s="95"/>
      <c r="J27" s="95"/>
      <c r="K27" s="95"/>
      <c r="L27" s="95"/>
      <c r="M27" s="95"/>
      <c r="N27" s="95"/>
      <c r="O27" s="95"/>
      <c r="P27" s="279" t="s">
        <v>37</v>
      </c>
      <c r="Q27" s="46"/>
      <c r="R27" s="46"/>
      <c r="S27" s="46"/>
      <c r="T27" s="46"/>
      <c r="U27" s="46"/>
      <c r="V27" s="46"/>
      <c r="W27" s="46"/>
      <c r="X27" s="46"/>
      <c r="Y27" s="46"/>
    </row>
    <row r="28" spans="1:25" ht="12.75" x14ac:dyDescent="0.2">
      <c r="A28" s="46"/>
      <c r="B28" s="68" t="s">
        <v>50</v>
      </c>
      <c r="C28" s="37"/>
      <c r="D28" s="273">
        <v>0</v>
      </c>
      <c r="E28" s="205" t="s">
        <v>50</v>
      </c>
      <c r="F28" s="103">
        <v>0</v>
      </c>
      <c r="G28" s="37"/>
      <c r="H28" s="37"/>
      <c r="I28" s="37"/>
      <c r="J28" s="37"/>
      <c r="K28" s="37"/>
      <c r="L28" s="37"/>
      <c r="M28" s="37"/>
      <c r="N28" s="37"/>
      <c r="O28" s="37"/>
      <c r="P28" s="277">
        <v>5.2999999999999998E-4</v>
      </c>
      <c r="Q28" s="46"/>
      <c r="R28" s="46"/>
      <c r="S28" s="46"/>
      <c r="T28" s="46"/>
      <c r="U28" s="46"/>
      <c r="V28" s="46"/>
      <c r="W28" s="46"/>
      <c r="X28" s="46"/>
      <c r="Y28" s="46"/>
    </row>
    <row r="29" spans="1:25" ht="12.75" x14ac:dyDescent="0.2">
      <c r="A29" s="46"/>
      <c r="B29" s="68" t="s">
        <v>51</v>
      </c>
      <c r="C29" s="37"/>
      <c r="D29" s="103">
        <v>0</v>
      </c>
      <c r="E29" s="205" t="s">
        <v>51</v>
      </c>
      <c r="F29" s="103">
        <v>0</v>
      </c>
      <c r="G29" s="37"/>
      <c r="H29" s="37"/>
      <c r="I29" s="37"/>
      <c r="J29" s="37"/>
      <c r="K29" s="37"/>
      <c r="L29" s="37"/>
      <c r="M29" s="37"/>
      <c r="N29" s="37"/>
      <c r="O29" s="37"/>
      <c r="P29" s="277">
        <v>0.99180000000000001</v>
      </c>
      <c r="Q29" s="46"/>
      <c r="R29" s="46"/>
      <c r="S29" s="46"/>
      <c r="T29" s="46"/>
      <c r="U29" s="46"/>
      <c r="V29" s="46"/>
      <c r="W29" s="46"/>
      <c r="X29" s="46"/>
      <c r="Y29" s="46"/>
    </row>
    <row r="30" spans="1:25" ht="12.75" x14ac:dyDescent="0.2">
      <c r="A30" s="46"/>
      <c r="B30" s="68" t="s">
        <v>52</v>
      </c>
      <c r="C30" s="37"/>
      <c r="D30" s="103">
        <v>0</v>
      </c>
      <c r="E30" s="205" t="s">
        <v>52</v>
      </c>
      <c r="F30" s="103">
        <v>0</v>
      </c>
      <c r="G30" s="37"/>
      <c r="H30" s="37"/>
      <c r="I30" s="37"/>
      <c r="J30" s="37"/>
      <c r="K30" s="37"/>
      <c r="L30" s="37"/>
      <c r="M30" s="37"/>
      <c r="N30" s="37"/>
      <c r="O30" s="37"/>
      <c r="P30" s="277">
        <v>4.7200000000000002E-3</v>
      </c>
      <c r="Q30" s="46"/>
      <c r="R30" s="46"/>
      <c r="S30" s="46"/>
      <c r="T30" s="46"/>
      <c r="U30" s="46"/>
      <c r="V30" s="46"/>
      <c r="W30" s="46"/>
      <c r="X30" s="46"/>
      <c r="Y30" s="46"/>
    </row>
    <row r="31" spans="1:25" ht="12.75" x14ac:dyDescent="0.2">
      <c r="A31" s="46"/>
      <c r="B31" s="68" t="s">
        <v>53</v>
      </c>
      <c r="C31" s="37"/>
      <c r="D31" s="103">
        <v>0</v>
      </c>
      <c r="E31" s="205" t="s">
        <v>53</v>
      </c>
      <c r="F31" s="103">
        <v>0</v>
      </c>
      <c r="G31" s="37"/>
      <c r="H31" s="37"/>
      <c r="I31" s="37"/>
      <c r="J31" s="37"/>
      <c r="K31" s="37"/>
      <c r="L31" s="37"/>
      <c r="M31" s="37"/>
      <c r="N31" s="37"/>
      <c r="O31" s="37"/>
      <c r="P31" s="277">
        <v>1.73E-3</v>
      </c>
      <c r="Q31" s="46"/>
      <c r="R31" s="46"/>
      <c r="S31" s="46"/>
      <c r="T31" s="46"/>
      <c r="U31" s="46"/>
      <c r="V31" s="46"/>
      <c r="W31" s="46"/>
      <c r="X31" s="46"/>
      <c r="Y31" s="46"/>
    </row>
    <row r="32" spans="1:25" ht="12.75" x14ac:dyDescent="0.2">
      <c r="A32" s="46"/>
      <c r="B32" s="68" t="s">
        <v>54</v>
      </c>
      <c r="C32" s="37"/>
      <c r="D32" s="103">
        <v>0</v>
      </c>
      <c r="E32" s="205" t="s">
        <v>54</v>
      </c>
      <c r="F32" s="103">
        <v>0</v>
      </c>
      <c r="G32" s="37"/>
      <c r="H32" s="37"/>
      <c r="I32" s="37"/>
      <c r="J32" s="37"/>
      <c r="K32" s="37"/>
      <c r="L32" s="37"/>
      <c r="M32" s="37"/>
      <c r="N32" s="37"/>
      <c r="O32" s="37"/>
      <c r="P32" s="277">
        <v>3.8000000000000002E-4</v>
      </c>
      <c r="Q32" s="46"/>
      <c r="R32" s="46"/>
      <c r="S32" s="46"/>
      <c r="T32" s="46"/>
      <c r="U32" s="46"/>
      <c r="V32" s="46"/>
      <c r="W32" s="46"/>
      <c r="X32" s="46"/>
      <c r="Y32" s="46"/>
    </row>
    <row r="33" spans="1:25" ht="12.75" x14ac:dyDescent="0.2">
      <c r="A33" s="46"/>
      <c r="B33" s="68" t="s">
        <v>55</v>
      </c>
      <c r="C33" s="37"/>
      <c r="D33" s="103">
        <v>0</v>
      </c>
      <c r="E33" s="205" t="s">
        <v>55</v>
      </c>
      <c r="F33" s="103">
        <v>0</v>
      </c>
      <c r="G33" s="37"/>
      <c r="H33" s="37"/>
      <c r="I33" s="37"/>
      <c r="J33" s="37"/>
      <c r="K33" s="37"/>
      <c r="L33" s="37"/>
      <c r="M33" s="37"/>
      <c r="N33" s="37"/>
      <c r="O33" s="37"/>
      <c r="P33" s="277">
        <v>7.6000000000000004E-4</v>
      </c>
      <c r="Q33" s="46"/>
      <c r="R33" s="46"/>
      <c r="S33" s="46"/>
      <c r="T33" s="46"/>
      <c r="U33" s="46"/>
      <c r="V33" s="46"/>
      <c r="W33" s="46"/>
      <c r="X33" s="46"/>
      <c r="Y33" s="46"/>
    </row>
    <row r="34" spans="1:25" ht="12.75" x14ac:dyDescent="0.2">
      <c r="A34" s="46"/>
      <c r="B34" s="68" t="s">
        <v>56</v>
      </c>
      <c r="C34" s="37"/>
      <c r="D34" s="103">
        <v>0</v>
      </c>
      <c r="E34" s="205" t="s">
        <v>56</v>
      </c>
      <c r="F34" s="103">
        <v>0</v>
      </c>
      <c r="G34" s="37"/>
      <c r="H34" s="37"/>
      <c r="I34" s="37"/>
      <c r="J34" s="37"/>
      <c r="K34" s="37"/>
      <c r="L34" s="37"/>
      <c r="M34" s="37"/>
      <c r="N34" s="37"/>
      <c r="O34" s="37"/>
      <c r="P34" s="277">
        <v>8.0000000000000007E-5</v>
      </c>
      <c r="Q34" s="46"/>
      <c r="R34" s="46"/>
      <c r="S34" s="46"/>
      <c r="T34" s="46"/>
      <c r="U34" s="46"/>
      <c r="V34" s="46"/>
      <c r="W34" s="46"/>
      <c r="X34" s="46"/>
      <c r="Y34" s="46"/>
    </row>
    <row r="35" spans="1:25" ht="13.5" thickBot="1" x14ac:dyDescent="0.25">
      <c r="A35" s="46"/>
      <c r="B35" s="73">
        <v>0</v>
      </c>
      <c r="C35" s="69"/>
      <c r="D35" s="274">
        <v>0</v>
      </c>
      <c r="E35" s="275">
        <v>0</v>
      </c>
      <c r="F35" s="276">
        <v>0</v>
      </c>
      <c r="G35" s="69"/>
      <c r="H35" s="69"/>
      <c r="I35" s="69"/>
      <c r="J35" s="69"/>
      <c r="K35" s="69"/>
      <c r="L35" s="69"/>
      <c r="M35" s="69"/>
      <c r="N35" s="69"/>
      <c r="O35" s="69"/>
      <c r="P35" s="278"/>
      <c r="Q35" s="46"/>
      <c r="R35" s="46"/>
      <c r="S35" s="46"/>
      <c r="T35" s="46"/>
      <c r="U35" s="46"/>
      <c r="V35" s="46"/>
      <c r="W35" s="46"/>
      <c r="X35" s="46"/>
      <c r="Y35" s="46"/>
    </row>
    <row r="36" spans="1:25" x14ac:dyDescent="0.15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</row>
    <row r="37" spans="1:25" x14ac:dyDescent="0.15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</row>
    <row r="38" spans="1:25" x14ac:dyDescent="0.15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</row>
    <row r="39" spans="1:25" x14ac:dyDescent="0.15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</row>
    <row r="40" spans="1:25" x14ac:dyDescent="0.1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5" x14ac:dyDescent="0.15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</row>
    <row r="42" spans="1:25" x14ac:dyDescent="0.15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</row>
    <row r="43" spans="1:25" x14ac:dyDescent="0.1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</row>
    <row r="44" spans="1:25" x14ac:dyDescent="0.15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</row>
    <row r="45" spans="1:25" x14ac:dyDescent="0.15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</row>
    <row r="46" spans="1:25" x14ac:dyDescent="0.15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</row>
    <row r="47" spans="1:25" x14ac:dyDescent="0.15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</row>
    <row r="48" spans="1:25" x14ac:dyDescent="0.15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</row>
    <row r="49" spans="1:24" x14ac:dyDescent="0.15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</row>
    <row r="50" spans="1:24" x14ac:dyDescent="0.15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</row>
    <row r="51" spans="1:24" x14ac:dyDescent="0.15">
      <c r="A51" s="46"/>
    </row>
    <row r="52" spans="1:24" x14ac:dyDescent="0.15">
      <c r="A52" s="46"/>
    </row>
    <row r="53" spans="1:24" x14ac:dyDescent="0.15">
      <c r="A53" s="46"/>
    </row>
    <row r="54" spans="1:24" x14ac:dyDescent="0.15">
      <c r="A54" s="46"/>
    </row>
    <row r="55" spans="1:24" x14ac:dyDescent="0.15">
      <c r="A55" s="46"/>
    </row>
    <row r="56" spans="1:24" x14ac:dyDescent="0.15">
      <c r="A56" s="46"/>
    </row>
    <row r="57" spans="1:24" x14ac:dyDescent="0.15">
      <c r="A57" s="46"/>
    </row>
    <row r="58" spans="1:24" x14ac:dyDescent="0.15">
      <c r="A58" s="46"/>
    </row>
    <row r="59" spans="1:24" x14ac:dyDescent="0.15">
      <c r="A59" s="46"/>
    </row>
    <row r="60" spans="1:24" x14ac:dyDescent="0.15">
      <c r="A60" s="46"/>
    </row>
    <row r="61" spans="1:24" x14ac:dyDescent="0.15">
      <c r="A61" s="46"/>
    </row>
    <row r="62" spans="1:24" x14ac:dyDescent="0.15">
      <c r="A62" s="46"/>
    </row>
    <row r="63" spans="1:24" x14ac:dyDescent="0.15">
      <c r="A63" s="46"/>
    </row>
  </sheetData>
  <phoneticPr fontId="0" type="noConversion"/>
  <printOptions gridLines="1" gridLinesSet="0"/>
  <pageMargins left="0.54" right="0.4" top="1.06" bottom="1" header="0.5" footer="0.5"/>
  <pageSetup scale="70" orientation="landscape" horizontalDpi="4294967292" verticalDpi="300" r:id="rId1"/>
  <headerFooter alignWithMargins="0">
    <oddFooter xml:space="preserve">&amp;C&amp;"Arial,Regular"Assumption Schedule - Page No.3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Dashboard</vt:lpstr>
      <vt:lpstr>Assumptions</vt:lpstr>
      <vt:lpstr>Opening Positions</vt:lpstr>
      <vt:lpstr>Connections &amp; Opex</vt:lpstr>
      <vt:lpstr>Projects &amp; Financing</vt:lpstr>
      <vt:lpstr>Output Statements</vt:lpstr>
      <vt:lpstr>Title</vt:lpstr>
      <vt:lpstr>NPV</vt:lpstr>
      <vt:lpstr>Tariffs Analysis</vt:lpstr>
      <vt:lpstr>ALL</vt:lpstr>
      <vt:lpstr>BALANCE</vt:lpstr>
      <vt:lpstr>CONSTRUCTION</vt:lpstr>
      <vt:lpstr>INCOME</vt:lpstr>
      <vt:lpstr>INPUT</vt:lpstr>
      <vt:lpstr>INVESTMENT</vt:lpstr>
      <vt:lpstr>'Output Statements'!Print_Area</vt:lpstr>
      <vt:lpstr>Print_Area_MI</vt:lpstr>
      <vt:lpstr>STATEMENTS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Baietti Generic Financial Projection Model</dc:title>
  <dc:creator>Aldo Baietti</dc:creator>
  <cp:keywords>1996</cp:keywords>
  <cp:lastModifiedBy>Luke Hart Gates</cp:lastModifiedBy>
  <cp:lastPrinted>2003-05-15T17:55:59Z</cp:lastPrinted>
  <dcterms:created xsi:type="dcterms:W3CDTF">1999-03-27T10:43:19Z</dcterms:created>
  <dcterms:modified xsi:type="dcterms:W3CDTF">2018-09-25T20:22:59Z</dcterms:modified>
</cp:coreProperties>
</file>