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filterPrivacy="1" defaultThemeVersion="153222"/>
  <bookViews>
    <workbookView xWindow="0" yWindow="0" windowWidth="28770" windowHeight="12060"/>
  </bookViews>
  <sheets>
    <sheet name="Description" sheetId="11" r:id="rId1"/>
    <sheet name="Calculator" sheetId="17" r:id="rId2"/>
    <sheet name="EBA2017" sheetId="9" state="hidden" r:id="rId3"/>
    <sheet name="Data Gaps" sheetId="12" state="hidden" r:id="rId4"/>
    <sheet name="Seed Base" sheetId="13" state="hidden" r:id="rId5"/>
    <sheet name="Seed Base Calc" sheetId="18" state="hidden" r:id="rId6"/>
    <sheet name="Fert Base" sheetId="14" state="hidden" r:id="rId7"/>
    <sheet name="Fert Base Calc" sheetId="19" state="hidden" r:id="rId8"/>
    <sheet name="Mech Base" sheetId="15" state="hidden" r:id="rId9"/>
    <sheet name="Mech Base Calc" sheetId="20" state="hidden" r:id="rId10"/>
    <sheet name="Mark Base" sheetId="16" state="hidden" r:id="rId11"/>
    <sheet name="Mark Base Calc" sheetId="21" state="hidden" r:id="rId12"/>
  </sheets>
  <definedNames>
    <definedName name="_xlnm._FilterDatabase" localSheetId="1" hidden="1">Calculator!$A$8:$BI$8</definedName>
    <definedName name="_xlnm._FilterDatabase" localSheetId="2" hidden="1">'EBA2017'!$A$8:$BI$8</definedName>
    <definedName name="_xlnm._FilterDatabase" localSheetId="6" hidden="1">'Fert Base'!$A$4:$K$4</definedName>
    <definedName name="_xlnm._FilterDatabase" localSheetId="7" hidden="1">'Fert Base Calc'!$A$4:$K$4</definedName>
    <definedName name="_xlnm._FilterDatabase" localSheetId="10" hidden="1">'Mark Base'!$A$4:$M$4</definedName>
    <definedName name="_xlnm._FilterDatabase" localSheetId="11" hidden="1">'Mark Base Calc'!$A$4:$M$4</definedName>
    <definedName name="_xlnm._FilterDatabase" localSheetId="8" hidden="1">'Mech Base'!$A$4:$K$4</definedName>
    <definedName name="_xlnm._FilterDatabase" localSheetId="9" hidden="1">'Mech Base Calc'!$A$4:$K$4</definedName>
    <definedName name="_xlnm._FilterDatabase" localSheetId="4" hidden="1">'Seed Base'!$A$6:$K$6</definedName>
    <definedName name="_xlnm._FilterDatabase" localSheetId="5" hidden="1">'Seed Base Calc'!$A$6:$K$6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7" l="1"/>
  <c r="AB9" i="17" s="1"/>
  <c r="J5" i="20" s="1"/>
  <c r="G66" i="21"/>
  <c r="G65" i="21"/>
  <c r="G64" i="21"/>
  <c r="G63" i="21"/>
  <c r="G62" i="21"/>
  <c r="G61" i="21"/>
  <c r="G60" i="21"/>
  <c r="G59" i="21"/>
  <c r="G58" i="21"/>
  <c r="G57" i="21"/>
  <c r="G56" i="21"/>
  <c r="G55" i="21"/>
  <c r="G54" i="21"/>
  <c r="G53" i="21"/>
  <c r="G52" i="21"/>
  <c r="G51" i="21"/>
  <c r="G50" i="21"/>
  <c r="G49" i="21"/>
  <c r="G48" i="21"/>
  <c r="G47" i="21"/>
  <c r="G46" i="21"/>
  <c r="G45" i="21"/>
  <c r="G44" i="21"/>
  <c r="G43" i="21"/>
  <c r="G42" i="21"/>
  <c r="G41" i="21"/>
  <c r="G40" i="21"/>
  <c r="G39" i="21"/>
  <c r="G38" i="21"/>
  <c r="G37" i="21"/>
  <c r="G36" i="21"/>
  <c r="G35" i="21"/>
  <c r="G34" i="21"/>
  <c r="G33" i="21"/>
  <c r="G32" i="21"/>
  <c r="G31" i="21"/>
  <c r="G30" i="21"/>
  <c r="G29" i="21"/>
  <c r="G28" i="21"/>
  <c r="G27" i="21"/>
  <c r="G26" i="21"/>
  <c r="G25" i="21"/>
  <c r="G24" i="21"/>
  <c r="G23" i="21"/>
  <c r="G22" i="21"/>
  <c r="G21" i="21"/>
  <c r="G20" i="21"/>
  <c r="G19" i="21"/>
  <c r="G18" i="21"/>
  <c r="G17" i="21"/>
  <c r="G16" i="21"/>
  <c r="G15" i="21"/>
  <c r="G14" i="21"/>
  <c r="G13" i="21"/>
  <c r="G12" i="21"/>
  <c r="G11" i="21"/>
  <c r="G10" i="21"/>
  <c r="G9" i="21"/>
  <c r="G8" i="21"/>
  <c r="G7" i="21"/>
  <c r="G6" i="21"/>
  <c r="G5" i="21"/>
  <c r="U1" i="21"/>
  <c r="T1" i="21"/>
  <c r="S1" i="21"/>
  <c r="R1" i="21"/>
  <c r="Q1" i="21"/>
  <c r="P1" i="21"/>
  <c r="O1" i="21"/>
  <c r="N1" i="21"/>
  <c r="M1" i="21"/>
  <c r="L1" i="21"/>
  <c r="K1" i="21"/>
  <c r="J1" i="21"/>
  <c r="I1" i="21"/>
  <c r="H1" i="21"/>
  <c r="G1" i="21"/>
  <c r="F1" i="21"/>
  <c r="E1" i="21"/>
  <c r="D1" i="21"/>
  <c r="C1" i="21"/>
  <c r="B1" i="21"/>
  <c r="A1" i="21"/>
  <c r="G66" i="20"/>
  <c r="G65" i="20"/>
  <c r="G64" i="20"/>
  <c r="G63" i="20"/>
  <c r="G62" i="20"/>
  <c r="G61" i="20"/>
  <c r="G60" i="20"/>
  <c r="G59" i="20"/>
  <c r="G58" i="20"/>
  <c r="G57" i="20"/>
  <c r="G56" i="20"/>
  <c r="G55" i="20"/>
  <c r="G54" i="20"/>
  <c r="G53" i="20"/>
  <c r="G52" i="20"/>
  <c r="G51" i="20"/>
  <c r="G50" i="20"/>
  <c r="G49" i="20"/>
  <c r="G48" i="20"/>
  <c r="G47" i="20"/>
  <c r="G46" i="20"/>
  <c r="G45" i="20"/>
  <c r="G44" i="20"/>
  <c r="G43" i="20"/>
  <c r="G42" i="20"/>
  <c r="G41" i="20"/>
  <c r="G40" i="20"/>
  <c r="G39" i="20"/>
  <c r="G38" i="20"/>
  <c r="G37" i="20"/>
  <c r="G36" i="20"/>
  <c r="G35" i="20"/>
  <c r="G34" i="20"/>
  <c r="G33" i="20"/>
  <c r="G32" i="20"/>
  <c r="G31" i="20"/>
  <c r="G30" i="20"/>
  <c r="G29" i="20"/>
  <c r="G28" i="20"/>
  <c r="G27" i="20"/>
  <c r="G26" i="20"/>
  <c r="G25" i="20"/>
  <c r="G24" i="20"/>
  <c r="G23" i="20"/>
  <c r="G22" i="20"/>
  <c r="G21" i="20"/>
  <c r="G20" i="20"/>
  <c r="G19" i="20"/>
  <c r="G18" i="20"/>
  <c r="G17" i="20"/>
  <c r="G16" i="20"/>
  <c r="G15" i="20"/>
  <c r="G14" i="20"/>
  <c r="G13" i="20"/>
  <c r="G12" i="20"/>
  <c r="G11" i="20"/>
  <c r="G10" i="20"/>
  <c r="G9" i="20"/>
  <c r="G8" i="20"/>
  <c r="G7" i="20"/>
  <c r="G6" i="20"/>
  <c r="G5" i="20"/>
  <c r="X1" i="20"/>
  <c r="W1" i="20"/>
  <c r="V1" i="20"/>
  <c r="U1" i="20"/>
  <c r="T1" i="20"/>
  <c r="S1" i="20"/>
  <c r="R1" i="20"/>
  <c r="Q1" i="20"/>
  <c r="P1" i="20"/>
  <c r="O1" i="20"/>
  <c r="N1" i="20"/>
  <c r="M1" i="20"/>
  <c r="L1" i="20"/>
  <c r="K1" i="20"/>
  <c r="J1" i="20"/>
  <c r="I1" i="20"/>
  <c r="H1" i="20"/>
  <c r="G1" i="20"/>
  <c r="F1" i="20"/>
  <c r="E1" i="20"/>
  <c r="D1" i="20"/>
  <c r="C1" i="20"/>
  <c r="B1" i="20"/>
  <c r="A1" i="20"/>
  <c r="G66" i="19"/>
  <c r="G65" i="19"/>
  <c r="G64" i="19"/>
  <c r="G63" i="19"/>
  <c r="G62" i="19"/>
  <c r="G61" i="19"/>
  <c r="G60" i="19"/>
  <c r="G59" i="19"/>
  <c r="G58" i="19"/>
  <c r="G57" i="19"/>
  <c r="G56" i="19"/>
  <c r="G55" i="19"/>
  <c r="G54" i="19"/>
  <c r="G53" i="19"/>
  <c r="G52" i="19"/>
  <c r="G51" i="19"/>
  <c r="G50" i="19"/>
  <c r="G49" i="19"/>
  <c r="G48" i="19"/>
  <c r="G47" i="19"/>
  <c r="G46" i="19"/>
  <c r="G45" i="19"/>
  <c r="G44" i="19"/>
  <c r="G43" i="19"/>
  <c r="G42" i="19"/>
  <c r="G41" i="19"/>
  <c r="G40" i="19"/>
  <c r="G39" i="19"/>
  <c r="G38" i="19"/>
  <c r="G37" i="19"/>
  <c r="G36" i="19"/>
  <c r="G35" i="19"/>
  <c r="G34" i="19"/>
  <c r="G33" i="19"/>
  <c r="G32" i="19"/>
  <c r="G31" i="19"/>
  <c r="G30" i="19"/>
  <c r="G29" i="19"/>
  <c r="G28" i="19"/>
  <c r="G27" i="19"/>
  <c r="G26" i="19"/>
  <c r="G25" i="19"/>
  <c r="G24" i="19"/>
  <c r="G23" i="19"/>
  <c r="G22" i="19"/>
  <c r="G21" i="19"/>
  <c r="G20" i="19"/>
  <c r="G19" i="19"/>
  <c r="G18" i="19"/>
  <c r="G17" i="19"/>
  <c r="G16" i="19"/>
  <c r="G15" i="19"/>
  <c r="G14" i="19"/>
  <c r="G13" i="19"/>
  <c r="G12" i="19"/>
  <c r="G11" i="19"/>
  <c r="G10" i="19"/>
  <c r="G9" i="19"/>
  <c r="G8" i="19"/>
  <c r="G7" i="19"/>
  <c r="G6" i="19"/>
  <c r="G5" i="19"/>
  <c r="S1" i="19"/>
  <c r="R1" i="19"/>
  <c r="Q1" i="19"/>
  <c r="P1" i="19"/>
  <c r="O1" i="19"/>
  <c r="N1" i="19"/>
  <c r="M1" i="19"/>
  <c r="L1" i="19"/>
  <c r="K1" i="19"/>
  <c r="J1" i="19"/>
  <c r="I1" i="19"/>
  <c r="H1" i="19"/>
  <c r="G1" i="19"/>
  <c r="F1" i="19"/>
  <c r="E1" i="19"/>
  <c r="D1" i="19"/>
  <c r="C1" i="19"/>
  <c r="B1" i="19"/>
  <c r="A1" i="19"/>
  <c r="G68" i="18"/>
  <c r="G67" i="18"/>
  <c r="G66" i="18"/>
  <c r="G65" i="18"/>
  <c r="G64" i="18"/>
  <c r="G63" i="18"/>
  <c r="G62" i="18"/>
  <c r="G61" i="18"/>
  <c r="G60" i="18"/>
  <c r="G59" i="18"/>
  <c r="G58" i="18"/>
  <c r="G57" i="18"/>
  <c r="G56" i="18"/>
  <c r="G55" i="18"/>
  <c r="G54" i="18"/>
  <c r="G53" i="18"/>
  <c r="G52" i="18"/>
  <c r="G51" i="18"/>
  <c r="G50" i="18"/>
  <c r="G49" i="18"/>
  <c r="G48" i="18"/>
  <c r="G47" i="18"/>
  <c r="G46" i="18"/>
  <c r="G45" i="18"/>
  <c r="G44" i="18"/>
  <c r="G43" i="18"/>
  <c r="G42" i="18"/>
  <c r="G41" i="18"/>
  <c r="G40" i="18"/>
  <c r="G39" i="18"/>
  <c r="G38" i="18"/>
  <c r="G37" i="18"/>
  <c r="G36" i="18"/>
  <c r="G35" i="18"/>
  <c r="G34" i="18"/>
  <c r="G33" i="18"/>
  <c r="G32" i="18"/>
  <c r="G31" i="18"/>
  <c r="G30" i="18"/>
  <c r="G29" i="18"/>
  <c r="G28" i="18"/>
  <c r="G27" i="18"/>
  <c r="G26" i="18"/>
  <c r="G25" i="18"/>
  <c r="G24" i="18"/>
  <c r="G23" i="18"/>
  <c r="G22" i="18"/>
  <c r="G21" i="18"/>
  <c r="G20" i="18"/>
  <c r="G19" i="18"/>
  <c r="G18" i="18"/>
  <c r="G17" i="18"/>
  <c r="G16" i="18"/>
  <c r="G15" i="18"/>
  <c r="G14" i="18"/>
  <c r="G13" i="18"/>
  <c r="G12" i="18"/>
  <c r="G11" i="18"/>
  <c r="G10" i="18"/>
  <c r="G9" i="18"/>
  <c r="G8" i="18"/>
  <c r="G7" i="18"/>
  <c r="S1" i="18"/>
  <c r="R1" i="18"/>
  <c r="Q1" i="18"/>
  <c r="P1" i="18"/>
  <c r="O1" i="18"/>
  <c r="N1" i="18"/>
  <c r="M1" i="18"/>
  <c r="L1" i="18"/>
  <c r="K1" i="18"/>
  <c r="J1" i="18"/>
  <c r="I1" i="18"/>
  <c r="H1" i="18"/>
  <c r="G1" i="18"/>
  <c r="F1" i="18"/>
  <c r="E1" i="18"/>
  <c r="D1" i="18"/>
  <c r="C1" i="18"/>
  <c r="B1" i="18"/>
  <c r="A1" i="18"/>
  <c r="B1" i="16"/>
  <c r="C1" i="16"/>
  <c r="D1" i="16"/>
  <c r="E1" i="16"/>
  <c r="F1" i="16"/>
  <c r="G1" i="16"/>
  <c r="H1" i="16"/>
  <c r="I1" i="16"/>
  <c r="J1" i="16"/>
  <c r="K1" i="16"/>
  <c r="L1" i="16"/>
  <c r="M1" i="16"/>
  <c r="N1" i="16"/>
  <c r="O1" i="16"/>
  <c r="P1" i="16"/>
  <c r="Q1" i="16"/>
  <c r="R1" i="16"/>
  <c r="S1" i="16"/>
  <c r="T1" i="16"/>
  <c r="U1" i="16"/>
  <c r="O6" i="16"/>
  <c r="R6" i="16" s="1"/>
  <c r="P6" i="16"/>
  <c r="S6" i="16" s="1"/>
  <c r="Q6" i="16"/>
  <c r="T6" i="16" s="1"/>
  <c r="O7" i="16"/>
  <c r="R7" i="16" s="1"/>
  <c r="P7" i="16"/>
  <c r="S7" i="16" s="1"/>
  <c r="Q7" i="16"/>
  <c r="T7" i="16" s="1"/>
  <c r="O8" i="16"/>
  <c r="R8" i="16" s="1"/>
  <c r="P8" i="16"/>
  <c r="S8" i="16" s="1"/>
  <c r="Q8" i="16"/>
  <c r="T8" i="16" s="1"/>
  <c r="O9" i="16"/>
  <c r="R9" i="16" s="1"/>
  <c r="P9" i="16"/>
  <c r="S9" i="16" s="1"/>
  <c r="Q9" i="16"/>
  <c r="T9" i="16" s="1"/>
  <c r="O10" i="16"/>
  <c r="R10" i="16" s="1"/>
  <c r="P10" i="16"/>
  <c r="S10" i="16" s="1"/>
  <c r="Q10" i="16"/>
  <c r="T10" i="16" s="1"/>
  <c r="O11" i="16"/>
  <c r="R11" i="16" s="1"/>
  <c r="P11" i="16"/>
  <c r="S11" i="16" s="1"/>
  <c r="Q11" i="16"/>
  <c r="T11" i="16" s="1"/>
  <c r="O12" i="16"/>
  <c r="R12" i="16" s="1"/>
  <c r="P12" i="16"/>
  <c r="S12" i="16" s="1"/>
  <c r="Q12" i="16"/>
  <c r="T12" i="16" s="1"/>
  <c r="O13" i="16"/>
  <c r="R13" i="16" s="1"/>
  <c r="P13" i="16"/>
  <c r="S13" i="16" s="1"/>
  <c r="Q13" i="16"/>
  <c r="T13" i="16" s="1"/>
  <c r="O14" i="16"/>
  <c r="R14" i="16" s="1"/>
  <c r="P14" i="16"/>
  <c r="S14" i="16" s="1"/>
  <c r="Q14" i="16"/>
  <c r="T14" i="16" s="1"/>
  <c r="O15" i="16"/>
  <c r="R15" i="16" s="1"/>
  <c r="P15" i="16"/>
  <c r="S15" i="16" s="1"/>
  <c r="Q15" i="16"/>
  <c r="T15" i="16" s="1"/>
  <c r="O16" i="16"/>
  <c r="R16" i="16" s="1"/>
  <c r="P16" i="16"/>
  <c r="S16" i="16" s="1"/>
  <c r="Q16" i="16"/>
  <c r="T16" i="16" s="1"/>
  <c r="O17" i="16"/>
  <c r="R17" i="16" s="1"/>
  <c r="P17" i="16"/>
  <c r="S17" i="16" s="1"/>
  <c r="Q17" i="16"/>
  <c r="T17" i="16" s="1"/>
  <c r="O18" i="16"/>
  <c r="R18" i="16" s="1"/>
  <c r="P18" i="16"/>
  <c r="S18" i="16" s="1"/>
  <c r="Q18" i="16"/>
  <c r="T18" i="16" s="1"/>
  <c r="O19" i="16"/>
  <c r="R19" i="16" s="1"/>
  <c r="P19" i="16"/>
  <c r="S19" i="16" s="1"/>
  <c r="Q19" i="16"/>
  <c r="T19" i="16" s="1"/>
  <c r="O20" i="16"/>
  <c r="R20" i="16" s="1"/>
  <c r="P20" i="16"/>
  <c r="S20" i="16" s="1"/>
  <c r="Q20" i="16"/>
  <c r="T20" i="16" s="1"/>
  <c r="O21" i="16"/>
  <c r="R21" i="16" s="1"/>
  <c r="P21" i="16"/>
  <c r="S21" i="16" s="1"/>
  <c r="Q21" i="16"/>
  <c r="T21" i="16" s="1"/>
  <c r="O22" i="16"/>
  <c r="R22" i="16" s="1"/>
  <c r="P22" i="16"/>
  <c r="S22" i="16" s="1"/>
  <c r="Q22" i="16"/>
  <c r="T22" i="16" s="1"/>
  <c r="O23" i="16"/>
  <c r="R23" i="16" s="1"/>
  <c r="P23" i="16"/>
  <c r="S23" i="16" s="1"/>
  <c r="Q23" i="16"/>
  <c r="T23" i="16" s="1"/>
  <c r="O24" i="16"/>
  <c r="R24" i="16" s="1"/>
  <c r="P24" i="16"/>
  <c r="S24" i="16" s="1"/>
  <c r="Q24" i="16"/>
  <c r="T24" i="16" s="1"/>
  <c r="O25" i="16"/>
  <c r="R25" i="16" s="1"/>
  <c r="P25" i="16"/>
  <c r="S25" i="16" s="1"/>
  <c r="Q25" i="16"/>
  <c r="T25" i="16" s="1"/>
  <c r="O26" i="16"/>
  <c r="R26" i="16" s="1"/>
  <c r="P26" i="16"/>
  <c r="S26" i="16" s="1"/>
  <c r="Q26" i="16"/>
  <c r="T26" i="16" s="1"/>
  <c r="O27" i="16"/>
  <c r="R27" i="16" s="1"/>
  <c r="P27" i="16"/>
  <c r="S27" i="16" s="1"/>
  <c r="Q27" i="16"/>
  <c r="T27" i="16" s="1"/>
  <c r="O28" i="16"/>
  <c r="R28" i="16" s="1"/>
  <c r="P28" i="16"/>
  <c r="S28" i="16" s="1"/>
  <c r="Q28" i="16"/>
  <c r="T28" i="16" s="1"/>
  <c r="O29" i="16"/>
  <c r="R29" i="16" s="1"/>
  <c r="P29" i="16"/>
  <c r="S29" i="16" s="1"/>
  <c r="Q29" i="16"/>
  <c r="T29" i="16" s="1"/>
  <c r="O30" i="16"/>
  <c r="R30" i="16" s="1"/>
  <c r="P30" i="16"/>
  <c r="S30" i="16" s="1"/>
  <c r="Q30" i="16"/>
  <c r="T30" i="16" s="1"/>
  <c r="O31" i="16"/>
  <c r="R31" i="16" s="1"/>
  <c r="P31" i="16"/>
  <c r="S31" i="16" s="1"/>
  <c r="Q31" i="16"/>
  <c r="T31" i="16" s="1"/>
  <c r="O32" i="16"/>
  <c r="R32" i="16" s="1"/>
  <c r="P32" i="16"/>
  <c r="S32" i="16" s="1"/>
  <c r="Q32" i="16"/>
  <c r="T32" i="16" s="1"/>
  <c r="O33" i="16"/>
  <c r="R33" i="16" s="1"/>
  <c r="P33" i="16"/>
  <c r="S33" i="16" s="1"/>
  <c r="Q33" i="16"/>
  <c r="T33" i="16" s="1"/>
  <c r="O34" i="16"/>
  <c r="R34" i="16" s="1"/>
  <c r="P34" i="16"/>
  <c r="S34" i="16" s="1"/>
  <c r="Q34" i="16"/>
  <c r="T34" i="16" s="1"/>
  <c r="O35" i="16"/>
  <c r="R35" i="16" s="1"/>
  <c r="P35" i="16"/>
  <c r="S35" i="16" s="1"/>
  <c r="Q35" i="16"/>
  <c r="T35" i="16" s="1"/>
  <c r="O36" i="16"/>
  <c r="R36" i="16" s="1"/>
  <c r="P36" i="16"/>
  <c r="S36" i="16" s="1"/>
  <c r="Q36" i="16"/>
  <c r="T36" i="16" s="1"/>
  <c r="O37" i="16"/>
  <c r="R37" i="16" s="1"/>
  <c r="P37" i="16"/>
  <c r="S37" i="16" s="1"/>
  <c r="Q37" i="16"/>
  <c r="T37" i="16" s="1"/>
  <c r="O38" i="16"/>
  <c r="R38" i="16" s="1"/>
  <c r="P38" i="16"/>
  <c r="S38" i="16" s="1"/>
  <c r="Q38" i="16"/>
  <c r="T38" i="16" s="1"/>
  <c r="O39" i="16"/>
  <c r="R39" i="16" s="1"/>
  <c r="P39" i="16"/>
  <c r="S39" i="16" s="1"/>
  <c r="Q39" i="16"/>
  <c r="T39" i="16" s="1"/>
  <c r="O40" i="16"/>
  <c r="R40" i="16" s="1"/>
  <c r="P40" i="16"/>
  <c r="S40" i="16" s="1"/>
  <c r="Q40" i="16"/>
  <c r="T40" i="16" s="1"/>
  <c r="O41" i="16"/>
  <c r="R41" i="16" s="1"/>
  <c r="P41" i="16"/>
  <c r="S41" i="16" s="1"/>
  <c r="Q41" i="16"/>
  <c r="T41" i="16" s="1"/>
  <c r="O42" i="16"/>
  <c r="R42" i="16" s="1"/>
  <c r="P42" i="16"/>
  <c r="S42" i="16" s="1"/>
  <c r="Q42" i="16"/>
  <c r="T42" i="16" s="1"/>
  <c r="O43" i="16"/>
  <c r="R43" i="16" s="1"/>
  <c r="P43" i="16"/>
  <c r="S43" i="16" s="1"/>
  <c r="Q43" i="16"/>
  <c r="T43" i="16" s="1"/>
  <c r="O44" i="16"/>
  <c r="R44" i="16" s="1"/>
  <c r="P44" i="16"/>
  <c r="S44" i="16" s="1"/>
  <c r="Q44" i="16"/>
  <c r="T44" i="16" s="1"/>
  <c r="O45" i="16"/>
  <c r="R45" i="16" s="1"/>
  <c r="P45" i="16"/>
  <c r="S45" i="16" s="1"/>
  <c r="Q45" i="16"/>
  <c r="T45" i="16" s="1"/>
  <c r="O46" i="16"/>
  <c r="R46" i="16" s="1"/>
  <c r="P46" i="16"/>
  <c r="S46" i="16" s="1"/>
  <c r="Q46" i="16"/>
  <c r="T46" i="16" s="1"/>
  <c r="O47" i="16"/>
  <c r="R47" i="16" s="1"/>
  <c r="P47" i="16"/>
  <c r="S47" i="16" s="1"/>
  <c r="Q47" i="16"/>
  <c r="T47" i="16" s="1"/>
  <c r="O48" i="16"/>
  <c r="R48" i="16" s="1"/>
  <c r="P48" i="16"/>
  <c r="S48" i="16" s="1"/>
  <c r="Q48" i="16"/>
  <c r="T48" i="16" s="1"/>
  <c r="O49" i="16"/>
  <c r="R49" i="16" s="1"/>
  <c r="P49" i="16"/>
  <c r="S49" i="16" s="1"/>
  <c r="Q49" i="16"/>
  <c r="T49" i="16" s="1"/>
  <c r="O50" i="16"/>
  <c r="R50" i="16" s="1"/>
  <c r="P50" i="16"/>
  <c r="S50" i="16" s="1"/>
  <c r="Q50" i="16"/>
  <c r="T50" i="16" s="1"/>
  <c r="O51" i="16"/>
  <c r="R51" i="16" s="1"/>
  <c r="P51" i="16"/>
  <c r="S51" i="16" s="1"/>
  <c r="Q51" i="16"/>
  <c r="T51" i="16" s="1"/>
  <c r="O52" i="16"/>
  <c r="R52" i="16" s="1"/>
  <c r="P52" i="16"/>
  <c r="S52" i="16" s="1"/>
  <c r="Q52" i="16"/>
  <c r="T52" i="16" s="1"/>
  <c r="O53" i="16"/>
  <c r="R53" i="16" s="1"/>
  <c r="P53" i="16"/>
  <c r="S53" i="16" s="1"/>
  <c r="Q53" i="16"/>
  <c r="T53" i="16" s="1"/>
  <c r="O54" i="16"/>
  <c r="R54" i="16" s="1"/>
  <c r="P54" i="16"/>
  <c r="S54" i="16" s="1"/>
  <c r="Q54" i="16"/>
  <c r="T54" i="16" s="1"/>
  <c r="O55" i="16"/>
  <c r="R55" i="16" s="1"/>
  <c r="P55" i="16"/>
  <c r="S55" i="16" s="1"/>
  <c r="Q55" i="16"/>
  <c r="T55" i="16" s="1"/>
  <c r="O56" i="16"/>
  <c r="R56" i="16" s="1"/>
  <c r="P56" i="16"/>
  <c r="S56" i="16" s="1"/>
  <c r="Q56" i="16"/>
  <c r="T56" i="16" s="1"/>
  <c r="O57" i="16"/>
  <c r="R57" i="16" s="1"/>
  <c r="P57" i="16"/>
  <c r="S57" i="16" s="1"/>
  <c r="Q57" i="16"/>
  <c r="T57" i="16" s="1"/>
  <c r="O58" i="16"/>
  <c r="R58" i="16" s="1"/>
  <c r="P58" i="16"/>
  <c r="S58" i="16" s="1"/>
  <c r="Q58" i="16"/>
  <c r="T58" i="16" s="1"/>
  <c r="O59" i="16"/>
  <c r="R59" i="16" s="1"/>
  <c r="P59" i="16"/>
  <c r="S59" i="16" s="1"/>
  <c r="Q59" i="16"/>
  <c r="T59" i="16" s="1"/>
  <c r="O60" i="16"/>
  <c r="R60" i="16" s="1"/>
  <c r="P60" i="16"/>
  <c r="S60" i="16" s="1"/>
  <c r="Q60" i="16"/>
  <c r="T60" i="16" s="1"/>
  <c r="O61" i="16"/>
  <c r="R61" i="16" s="1"/>
  <c r="P61" i="16"/>
  <c r="S61" i="16" s="1"/>
  <c r="Q61" i="16"/>
  <c r="T61" i="16" s="1"/>
  <c r="O62" i="16"/>
  <c r="R62" i="16" s="1"/>
  <c r="P62" i="16"/>
  <c r="S62" i="16" s="1"/>
  <c r="Q62" i="16"/>
  <c r="T62" i="16" s="1"/>
  <c r="O63" i="16"/>
  <c r="R63" i="16" s="1"/>
  <c r="P63" i="16"/>
  <c r="S63" i="16" s="1"/>
  <c r="Q63" i="16"/>
  <c r="T63" i="16" s="1"/>
  <c r="O64" i="16"/>
  <c r="R64" i="16" s="1"/>
  <c r="P64" i="16"/>
  <c r="S64" i="16" s="1"/>
  <c r="Q64" i="16"/>
  <c r="T64" i="16" s="1"/>
  <c r="O65" i="16"/>
  <c r="R65" i="16" s="1"/>
  <c r="P65" i="16"/>
  <c r="S65" i="16" s="1"/>
  <c r="Q65" i="16"/>
  <c r="T65" i="16" s="1"/>
  <c r="O66" i="16"/>
  <c r="R66" i="16" s="1"/>
  <c r="P66" i="16"/>
  <c r="S66" i="16" s="1"/>
  <c r="Q66" i="16"/>
  <c r="T66" i="16" s="1"/>
  <c r="L6" i="16"/>
  <c r="L7" i="16"/>
  <c r="L8" i="16"/>
  <c r="L9" i="16"/>
  <c r="L10" i="16"/>
  <c r="L11" i="16"/>
  <c r="L12" i="16"/>
  <c r="L13" i="16"/>
  <c r="L14" i="16"/>
  <c r="L15" i="16"/>
  <c r="L16" i="16"/>
  <c r="M16" i="16" s="1"/>
  <c r="L17" i="16"/>
  <c r="L18" i="16"/>
  <c r="L19" i="16"/>
  <c r="L20" i="16"/>
  <c r="L21" i="16"/>
  <c r="L22" i="16"/>
  <c r="L23" i="16"/>
  <c r="L24" i="16"/>
  <c r="L25" i="16"/>
  <c r="L26" i="16"/>
  <c r="L27" i="16"/>
  <c r="L28" i="16"/>
  <c r="L29" i="16"/>
  <c r="L30" i="16"/>
  <c r="L31" i="16"/>
  <c r="L32" i="16"/>
  <c r="L33" i="16"/>
  <c r="L34" i="16"/>
  <c r="L35" i="16"/>
  <c r="L36" i="16"/>
  <c r="L37" i="16"/>
  <c r="L38" i="16"/>
  <c r="L39" i="16"/>
  <c r="L40" i="16"/>
  <c r="L41" i="16"/>
  <c r="L42" i="16"/>
  <c r="L43" i="16"/>
  <c r="L44" i="16"/>
  <c r="L45" i="16"/>
  <c r="L46" i="16"/>
  <c r="L47" i="16"/>
  <c r="L48" i="16"/>
  <c r="L49" i="16"/>
  <c r="L50" i="16"/>
  <c r="L51" i="16"/>
  <c r="L52" i="16"/>
  <c r="L53" i="16"/>
  <c r="L54" i="16"/>
  <c r="L55" i="16"/>
  <c r="L56" i="16"/>
  <c r="L57" i="16"/>
  <c r="L58" i="16"/>
  <c r="L59" i="16"/>
  <c r="L60" i="16"/>
  <c r="L61" i="16"/>
  <c r="L62" i="16"/>
  <c r="L63" i="16"/>
  <c r="L64" i="16"/>
  <c r="L65" i="16"/>
  <c r="L66" i="16"/>
  <c r="J6" i="16"/>
  <c r="J7" i="16"/>
  <c r="J8" i="16"/>
  <c r="J9" i="16"/>
  <c r="J10" i="16"/>
  <c r="J11" i="16"/>
  <c r="J12" i="16"/>
  <c r="J13" i="16"/>
  <c r="J14" i="16"/>
  <c r="J15" i="16"/>
  <c r="J16" i="16"/>
  <c r="J17" i="16"/>
  <c r="J18" i="16"/>
  <c r="J19" i="16"/>
  <c r="J20" i="16"/>
  <c r="J21" i="16"/>
  <c r="J22" i="16"/>
  <c r="J23" i="16"/>
  <c r="J24" i="16"/>
  <c r="J25" i="16"/>
  <c r="J26" i="16"/>
  <c r="J27" i="16"/>
  <c r="J28" i="16"/>
  <c r="J29" i="16"/>
  <c r="J30" i="16"/>
  <c r="J31" i="16"/>
  <c r="J32" i="16"/>
  <c r="J33" i="16"/>
  <c r="J34" i="16"/>
  <c r="J35" i="16"/>
  <c r="J36" i="16"/>
  <c r="J37" i="16"/>
  <c r="J38" i="16"/>
  <c r="J39" i="16"/>
  <c r="J40" i="16"/>
  <c r="K40" i="16" s="1"/>
  <c r="J41" i="16"/>
  <c r="J42" i="16"/>
  <c r="K42" i="16" s="1"/>
  <c r="J43" i="16"/>
  <c r="J44" i="16"/>
  <c r="J45" i="16"/>
  <c r="J46" i="16"/>
  <c r="J47" i="16"/>
  <c r="J48" i="16"/>
  <c r="J49" i="16"/>
  <c r="J50" i="16"/>
  <c r="J51" i="16"/>
  <c r="J52" i="16"/>
  <c r="J53" i="16"/>
  <c r="J54" i="16"/>
  <c r="K54" i="16" s="1"/>
  <c r="J55" i="16"/>
  <c r="J56" i="16"/>
  <c r="J57" i="16"/>
  <c r="J58" i="16"/>
  <c r="J59" i="16"/>
  <c r="J60" i="16"/>
  <c r="J61" i="16"/>
  <c r="J62" i="16"/>
  <c r="J63" i="16"/>
  <c r="J64" i="16"/>
  <c r="J65" i="16"/>
  <c r="J66" i="16"/>
  <c r="K66" i="16" s="1"/>
  <c r="H6" i="16"/>
  <c r="H7" i="16"/>
  <c r="H8" i="16"/>
  <c r="H9" i="16"/>
  <c r="H10" i="16"/>
  <c r="H11" i="16"/>
  <c r="H12" i="16"/>
  <c r="H13" i="16"/>
  <c r="H14" i="16"/>
  <c r="H15" i="16"/>
  <c r="H16" i="16"/>
  <c r="H17" i="16"/>
  <c r="H18" i="16"/>
  <c r="H19" i="16"/>
  <c r="H20" i="16"/>
  <c r="H21" i="16"/>
  <c r="H22" i="16"/>
  <c r="H23" i="16"/>
  <c r="H24" i="16"/>
  <c r="H25" i="16"/>
  <c r="H26" i="16"/>
  <c r="H27" i="16"/>
  <c r="H28" i="16"/>
  <c r="H29" i="16"/>
  <c r="H30" i="16"/>
  <c r="H31" i="16"/>
  <c r="H32" i="16"/>
  <c r="H33" i="16"/>
  <c r="H34" i="16"/>
  <c r="H35" i="16"/>
  <c r="H36" i="16"/>
  <c r="H37" i="16"/>
  <c r="H38" i="16"/>
  <c r="H39" i="16"/>
  <c r="H40" i="16"/>
  <c r="H41" i="16"/>
  <c r="H42" i="16"/>
  <c r="H43" i="16"/>
  <c r="H44" i="16"/>
  <c r="H45" i="16"/>
  <c r="H46" i="16"/>
  <c r="H47" i="16"/>
  <c r="H48" i="16"/>
  <c r="H49" i="16"/>
  <c r="H50" i="16"/>
  <c r="H51" i="16"/>
  <c r="H52" i="16"/>
  <c r="H53" i="16"/>
  <c r="H54" i="16"/>
  <c r="H55" i="16"/>
  <c r="H56" i="16"/>
  <c r="H57" i="16"/>
  <c r="H58" i="16"/>
  <c r="H59" i="16"/>
  <c r="H60" i="16"/>
  <c r="H61" i="16"/>
  <c r="H62" i="16"/>
  <c r="H63" i="16"/>
  <c r="H64" i="16"/>
  <c r="H65" i="16"/>
  <c r="H66" i="16"/>
  <c r="Q5" i="16"/>
  <c r="T5" i="16" s="1"/>
  <c r="P5" i="16"/>
  <c r="S5" i="16" s="1"/>
  <c r="O5" i="16"/>
  <c r="R5" i="16" s="1"/>
  <c r="L5" i="16"/>
  <c r="J5" i="16"/>
  <c r="H5" i="16"/>
  <c r="G66" i="16"/>
  <c r="G65" i="16"/>
  <c r="G64" i="16"/>
  <c r="G63" i="16"/>
  <c r="G62" i="16"/>
  <c r="G61" i="16"/>
  <c r="G60" i="16"/>
  <c r="G59" i="16"/>
  <c r="G58" i="16"/>
  <c r="G57" i="16"/>
  <c r="G56" i="16"/>
  <c r="G55" i="16"/>
  <c r="G54" i="16"/>
  <c r="G53" i="16"/>
  <c r="G52" i="16"/>
  <c r="G51" i="16"/>
  <c r="G50" i="16"/>
  <c r="G49" i="16"/>
  <c r="G48" i="16"/>
  <c r="G47" i="16"/>
  <c r="G46" i="16"/>
  <c r="G45" i="16"/>
  <c r="G44" i="16"/>
  <c r="G43" i="16"/>
  <c r="G42" i="16"/>
  <c r="G41" i="16"/>
  <c r="G40" i="16"/>
  <c r="G39" i="16"/>
  <c r="G38" i="16"/>
  <c r="G37" i="16"/>
  <c r="G36" i="16"/>
  <c r="G35" i="16"/>
  <c r="G34" i="16"/>
  <c r="G33" i="16"/>
  <c r="G32" i="16"/>
  <c r="G31" i="16"/>
  <c r="G30" i="16"/>
  <c r="G29" i="16"/>
  <c r="G28" i="16"/>
  <c r="G27" i="16"/>
  <c r="G26" i="16"/>
  <c r="G25" i="16"/>
  <c r="G24" i="16"/>
  <c r="G23" i="16"/>
  <c r="G22" i="16"/>
  <c r="G21" i="16"/>
  <c r="G20" i="16"/>
  <c r="G19" i="16"/>
  <c r="G18" i="16"/>
  <c r="G17" i="16"/>
  <c r="G16" i="16"/>
  <c r="G15" i="16"/>
  <c r="G14" i="16"/>
  <c r="G13" i="16"/>
  <c r="G12" i="16"/>
  <c r="G11" i="16"/>
  <c r="G10" i="16"/>
  <c r="G9" i="16"/>
  <c r="G8" i="16"/>
  <c r="G7" i="16"/>
  <c r="G6" i="16"/>
  <c r="G5" i="16"/>
  <c r="A1" i="16"/>
  <c r="B1" i="15"/>
  <c r="C1" i="15"/>
  <c r="D1" i="15"/>
  <c r="E1" i="15"/>
  <c r="F1" i="15"/>
  <c r="G1" i="15"/>
  <c r="H1" i="15"/>
  <c r="I1" i="15"/>
  <c r="J1" i="15"/>
  <c r="K1" i="15"/>
  <c r="L1" i="15"/>
  <c r="M1" i="15"/>
  <c r="N1" i="15"/>
  <c r="O1" i="15"/>
  <c r="P1" i="15"/>
  <c r="Q1" i="15"/>
  <c r="R1" i="15"/>
  <c r="S1" i="15"/>
  <c r="T1" i="15"/>
  <c r="U1" i="15"/>
  <c r="V1" i="15"/>
  <c r="W1" i="15"/>
  <c r="X1" i="15"/>
  <c r="A1" i="15"/>
  <c r="R6" i="15"/>
  <c r="U6" i="15" s="1"/>
  <c r="S6" i="15"/>
  <c r="V6" i="15" s="1"/>
  <c r="T6" i="15"/>
  <c r="W6" i="15" s="1"/>
  <c r="R7" i="15"/>
  <c r="U7" i="15" s="1"/>
  <c r="S7" i="15"/>
  <c r="V7" i="15" s="1"/>
  <c r="T7" i="15"/>
  <c r="W7" i="15" s="1"/>
  <c r="R8" i="15"/>
  <c r="U8" i="15" s="1"/>
  <c r="S8" i="15"/>
  <c r="V8" i="15" s="1"/>
  <c r="T8" i="15"/>
  <c r="W8" i="15" s="1"/>
  <c r="R9" i="15"/>
  <c r="U9" i="15" s="1"/>
  <c r="S9" i="15"/>
  <c r="V9" i="15" s="1"/>
  <c r="T9" i="15"/>
  <c r="W9" i="15" s="1"/>
  <c r="R10" i="15"/>
  <c r="U10" i="15" s="1"/>
  <c r="S10" i="15"/>
  <c r="V10" i="15" s="1"/>
  <c r="T10" i="15"/>
  <c r="W10" i="15" s="1"/>
  <c r="R11" i="15"/>
  <c r="U11" i="15" s="1"/>
  <c r="S11" i="15"/>
  <c r="V11" i="15" s="1"/>
  <c r="T11" i="15"/>
  <c r="W11" i="15" s="1"/>
  <c r="R12" i="15"/>
  <c r="U12" i="15" s="1"/>
  <c r="S12" i="15"/>
  <c r="V12" i="15" s="1"/>
  <c r="T12" i="15"/>
  <c r="W12" i="15" s="1"/>
  <c r="R13" i="15"/>
  <c r="U13" i="15" s="1"/>
  <c r="S13" i="15"/>
  <c r="V13" i="15" s="1"/>
  <c r="T13" i="15"/>
  <c r="W13" i="15" s="1"/>
  <c r="R14" i="15"/>
  <c r="U14" i="15" s="1"/>
  <c r="S14" i="15"/>
  <c r="V14" i="15" s="1"/>
  <c r="T14" i="15"/>
  <c r="W14" i="15" s="1"/>
  <c r="R15" i="15"/>
  <c r="U15" i="15" s="1"/>
  <c r="S15" i="15"/>
  <c r="V15" i="15" s="1"/>
  <c r="T15" i="15"/>
  <c r="W15" i="15" s="1"/>
  <c r="R16" i="15"/>
  <c r="U16" i="15" s="1"/>
  <c r="S16" i="15"/>
  <c r="V16" i="15" s="1"/>
  <c r="T16" i="15"/>
  <c r="W16" i="15" s="1"/>
  <c r="R17" i="15"/>
  <c r="U17" i="15" s="1"/>
  <c r="S17" i="15"/>
  <c r="V17" i="15" s="1"/>
  <c r="T17" i="15"/>
  <c r="W17" i="15" s="1"/>
  <c r="R18" i="15"/>
  <c r="U18" i="15" s="1"/>
  <c r="S18" i="15"/>
  <c r="V18" i="15" s="1"/>
  <c r="T18" i="15"/>
  <c r="W18" i="15" s="1"/>
  <c r="R19" i="15"/>
  <c r="U19" i="15" s="1"/>
  <c r="S19" i="15"/>
  <c r="V19" i="15" s="1"/>
  <c r="T19" i="15"/>
  <c r="W19" i="15" s="1"/>
  <c r="R20" i="15"/>
  <c r="U20" i="15" s="1"/>
  <c r="S20" i="15"/>
  <c r="V20" i="15" s="1"/>
  <c r="T20" i="15"/>
  <c r="W20" i="15" s="1"/>
  <c r="R21" i="15"/>
  <c r="U21" i="15" s="1"/>
  <c r="S21" i="15"/>
  <c r="V21" i="15" s="1"/>
  <c r="T21" i="15"/>
  <c r="W21" i="15" s="1"/>
  <c r="R22" i="15"/>
  <c r="U22" i="15" s="1"/>
  <c r="S22" i="15"/>
  <c r="V22" i="15" s="1"/>
  <c r="T22" i="15"/>
  <c r="W22" i="15" s="1"/>
  <c r="R23" i="15"/>
  <c r="U23" i="15" s="1"/>
  <c r="S23" i="15"/>
  <c r="V23" i="15" s="1"/>
  <c r="T23" i="15"/>
  <c r="W23" i="15" s="1"/>
  <c r="R24" i="15"/>
  <c r="U24" i="15" s="1"/>
  <c r="S24" i="15"/>
  <c r="V24" i="15" s="1"/>
  <c r="T24" i="15"/>
  <c r="W24" i="15" s="1"/>
  <c r="R25" i="15"/>
  <c r="U25" i="15" s="1"/>
  <c r="S25" i="15"/>
  <c r="V25" i="15" s="1"/>
  <c r="T25" i="15"/>
  <c r="W25" i="15" s="1"/>
  <c r="R26" i="15"/>
  <c r="U26" i="15" s="1"/>
  <c r="S26" i="15"/>
  <c r="V26" i="15" s="1"/>
  <c r="T26" i="15"/>
  <c r="W26" i="15" s="1"/>
  <c r="R27" i="15"/>
  <c r="U27" i="15" s="1"/>
  <c r="S27" i="15"/>
  <c r="V27" i="15" s="1"/>
  <c r="T27" i="15"/>
  <c r="W27" i="15" s="1"/>
  <c r="R28" i="15"/>
  <c r="U28" i="15" s="1"/>
  <c r="S28" i="15"/>
  <c r="V28" i="15" s="1"/>
  <c r="T28" i="15"/>
  <c r="W28" i="15" s="1"/>
  <c r="R29" i="15"/>
  <c r="U29" i="15" s="1"/>
  <c r="S29" i="15"/>
  <c r="V29" i="15" s="1"/>
  <c r="T29" i="15"/>
  <c r="W29" i="15" s="1"/>
  <c r="R30" i="15"/>
  <c r="U30" i="15" s="1"/>
  <c r="S30" i="15"/>
  <c r="V30" i="15" s="1"/>
  <c r="T30" i="15"/>
  <c r="W30" i="15" s="1"/>
  <c r="R31" i="15"/>
  <c r="U31" i="15" s="1"/>
  <c r="S31" i="15"/>
  <c r="V31" i="15" s="1"/>
  <c r="T31" i="15"/>
  <c r="W31" i="15" s="1"/>
  <c r="R32" i="15"/>
  <c r="U32" i="15" s="1"/>
  <c r="S32" i="15"/>
  <c r="V32" i="15" s="1"/>
  <c r="T32" i="15"/>
  <c r="W32" i="15" s="1"/>
  <c r="R33" i="15"/>
  <c r="U33" i="15" s="1"/>
  <c r="S33" i="15"/>
  <c r="V33" i="15" s="1"/>
  <c r="T33" i="15"/>
  <c r="W33" i="15" s="1"/>
  <c r="R34" i="15"/>
  <c r="U34" i="15" s="1"/>
  <c r="S34" i="15"/>
  <c r="V34" i="15" s="1"/>
  <c r="T34" i="15"/>
  <c r="W34" i="15" s="1"/>
  <c r="R35" i="15"/>
  <c r="U35" i="15" s="1"/>
  <c r="S35" i="15"/>
  <c r="V35" i="15" s="1"/>
  <c r="T35" i="15"/>
  <c r="W35" i="15" s="1"/>
  <c r="R36" i="15"/>
  <c r="U36" i="15" s="1"/>
  <c r="S36" i="15"/>
  <c r="V36" i="15" s="1"/>
  <c r="T36" i="15"/>
  <c r="W36" i="15" s="1"/>
  <c r="R37" i="15"/>
  <c r="U37" i="15" s="1"/>
  <c r="S37" i="15"/>
  <c r="V37" i="15" s="1"/>
  <c r="T37" i="15"/>
  <c r="W37" i="15" s="1"/>
  <c r="R38" i="15"/>
  <c r="U38" i="15" s="1"/>
  <c r="S38" i="15"/>
  <c r="V38" i="15" s="1"/>
  <c r="T38" i="15"/>
  <c r="W38" i="15" s="1"/>
  <c r="R39" i="15"/>
  <c r="U39" i="15" s="1"/>
  <c r="S39" i="15"/>
  <c r="V39" i="15" s="1"/>
  <c r="T39" i="15"/>
  <c r="W39" i="15" s="1"/>
  <c r="R40" i="15"/>
  <c r="U40" i="15" s="1"/>
  <c r="S40" i="15"/>
  <c r="V40" i="15" s="1"/>
  <c r="T40" i="15"/>
  <c r="W40" i="15" s="1"/>
  <c r="R41" i="15"/>
  <c r="U41" i="15" s="1"/>
  <c r="S41" i="15"/>
  <c r="V41" i="15" s="1"/>
  <c r="T41" i="15"/>
  <c r="W41" i="15" s="1"/>
  <c r="R42" i="15"/>
  <c r="U42" i="15" s="1"/>
  <c r="S42" i="15"/>
  <c r="V42" i="15" s="1"/>
  <c r="T42" i="15"/>
  <c r="W42" i="15" s="1"/>
  <c r="R43" i="15"/>
  <c r="U43" i="15" s="1"/>
  <c r="S43" i="15"/>
  <c r="V43" i="15" s="1"/>
  <c r="T43" i="15"/>
  <c r="W43" i="15" s="1"/>
  <c r="R44" i="15"/>
  <c r="U44" i="15" s="1"/>
  <c r="S44" i="15"/>
  <c r="V44" i="15" s="1"/>
  <c r="T44" i="15"/>
  <c r="W44" i="15" s="1"/>
  <c r="R45" i="15"/>
  <c r="U45" i="15" s="1"/>
  <c r="S45" i="15"/>
  <c r="V45" i="15" s="1"/>
  <c r="T45" i="15"/>
  <c r="W45" i="15" s="1"/>
  <c r="R46" i="15"/>
  <c r="U46" i="15" s="1"/>
  <c r="S46" i="15"/>
  <c r="V46" i="15" s="1"/>
  <c r="T46" i="15"/>
  <c r="W46" i="15" s="1"/>
  <c r="R47" i="15"/>
  <c r="U47" i="15" s="1"/>
  <c r="S47" i="15"/>
  <c r="V47" i="15" s="1"/>
  <c r="T47" i="15"/>
  <c r="W47" i="15" s="1"/>
  <c r="R48" i="15"/>
  <c r="U48" i="15" s="1"/>
  <c r="S48" i="15"/>
  <c r="V48" i="15" s="1"/>
  <c r="T48" i="15"/>
  <c r="W48" i="15" s="1"/>
  <c r="R49" i="15"/>
  <c r="U49" i="15" s="1"/>
  <c r="S49" i="15"/>
  <c r="V49" i="15" s="1"/>
  <c r="T49" i="15"/>
  <c r="W49" i="15" s="1"/>
  <c r="R50" i="15"/>
  <c r="U50" i="15" s="1"/>
  <c r="S50" i="15"/>
  <c r="V50" i="15" s="1"/>
  <c r="T50" i="15"/>
  <c r="W50" i="15" s="1"/>
  <c r="R51" i="15"/>
  <c r="U51" i="15" s="1"/>
  <c r="S51" i="15"/>
  <c r="V51" i="15" s="1"/>
  <c r="T51" i="15"/>
  <c r="W51" i="15" s="1"/>
  <c r="R52" i="15"/>
  <c r="U52" i="15" s="1"/>
  <c r="S52" i="15"/>
  <c r="V52" i="15" s="1"/>
  <c r="T52" i="15"/>
  <c r="W52" i="15" s="1"/>
  <c r="R53" i="15"/>
  <c r="U53" i="15" s="1"/>
  <c r="S53" i="15"/>
  <c r="V53" i="15" s="1"/>
  <c r="T53" i="15"/>
  <c r="W53" i="15" s="1"/>
  <c r="R54" i="15"/>
  <c r="U54" i="15" s="1"/>
  <c r="S54" i="15"/>
  <c r="V54" i="15" s="1"/>
  <c r="T54" i="15"/>
  <c r="W54" i="15" s="1"/>
  <c r="R55" i="15"/>
  <c r="U55" i="15" s="1"/>
  <c r="S55" i="15"/>
  <c r="V55" i="15" s="1"/>
  <c r="T55" i="15"/>
  <c r="W55" i="15" s="1"/>
  <c r="R56" i="15"/>
  <c r="U56" i="15" s="1"/>
  <c r="S56" i="15"/>
  <c r="V56" i="15" s="1"/>
  <c r="T56" i="15"/>
  <c r="W56" i="15" s="1"/>
  <c r="R57" i="15"/>
  <c r="U57" i="15" s="1"/>
  <c r="S57" i="15"/>
  <c r="V57" i="15" s="1"/>
  <c r="T57" i="15"/>
  <c r="W57" i="15" s="1"/>
  <c r="R58" i="15"/>
  <c r="U58" i="15" s="1"/>
  <c r="S58" i="15"/>
  <c r="V58" i="15" s="1"/>
  <c r="T58" i="15"/>
  <c r="W58" i="15" s="1"/>
  <c r="R59" i="15"/>
  <c r="U59" i="15" s="1"/>
  <c r="S59" i="15"/>
  <c r="V59" i="15" s="1"/>
  <c r="T59" i="15"/>
  <c r="W59" i="15" s="1"/>
  <c r="R60" i="15"/>
  <c r="U60" i="15" s="1"/>
  <c r="S60" i="15"/>
  <c r="V60" i="15" s="1"/>
  <c r="T60" i="15"/>
  <c r="W60" i="15" s="1"/>
  <c r="R61" i="15"/>
  <c r="U61" i="15" s="1"/>
  <c r="S61" i="15"/>
  <c r="V61" i="15" s="1"/>
  <c r="T61" i="15"/>
  <c r="W61" i="15" s="1"/>
  <c r="R62" i="15"/>
  <c r="U62" i="15" s="1"/>
  <c r="S62" i="15"/>
  <c r="V62" i="15" s="1"/>
  <c r="T62" i="15"/>
  <c r="W62" i="15" s="1"/>
  <c r="R63" i="15"/>
  <c r="U63" i="15" s="1"/>
  <c r="S63" i="15"/>
  <c r="V63" i="15" s="1"/>
  <c r="T63" i="15"/>
  <c r="W63" i="15" s="1"/>
  <c r="R64" i="15"/>
  <c r="U64" i="15" s="1"/>
  <c r="S64" i="15"/>
  <c r="V64" i="15" s="1"/>
  <c r="T64" i="15"/>
  <c r="W64" i="15" s="1"/>
  <c r="R65" i="15"/>
  <c r="U65" i="15" s="1"/>
  <c r="S65" i="15"/>
  <c r="V65" i="15" s="1"/>
  <c r="T65" i="15"/>
  <c r="W65" i="15" s="1"/>
  <c r="R66" i="15"/>
  <c r="U66" i="15" s="1"/>
  <c r="S66" i="15"/>
  <c r="V66" i="15" s="1"/>
  <c r="T66" i="15"/>
  <c r="W66" i="15" s="1"/>
  <c r="T5" i="15"/>
  <c r="W5" i="15" s="1"/>
  <c r="S5" i="15"/>
  <c r="V5" i="15" s="1"/>
  <c r="R5" i="15"/>
  <c r="U5" i="15" s="1"/>
  <c r="B1" i="14"/>
  <c r="C1" i="14"/>
  <c r="D1" i="14"/>
  <c r="E1" i="14"/>
  <c r="F1" i="14"/>
  <c r="G1" i="14"/>
  <c r="H1" i="14"/>
  <c r="I1" i="14"/>
  <c r="J1" i="14"/>
  <c r="K1" i="14"/>
  <c r="L1" i="14"/>
  <c r="M1" i="14"/>
  <c r="N1" i="14"/>
  <c r="O1" i="14"/>
  <c r="P1" i="14"/>
  <c r="Q1" i="14"/>
  <c r="R1" i="14"/>
  <c r="S1" i="14"/>
  <c r="A1" i="14"/>
  <c r="M6" i="14"/>
  <c r="P6" i="14" s="1"/>
  <c r="N6" i="14"/>
  <c r="Q6" i="14" s="1"/>
  <c r="O6" i="14"/>
  <c r="R6" i="14" s="1"/>
  <c r="M7" i="14"/>
  <c r="P7" i="14" s="1"/>
  <c r="N7" i="14"/>
  <c r="Q7" i="14" s="1"/>
  <c r="O7" i="14"/>
  <c r="R7" i="14" s="1"/>
  <c r="M8" i="14"/>
  <c r="P8" i="14" s="1"/>
  <c r="N8" i="14"/>
  <c r="Q8" i="14" s="1"/>
  <c r="O8" i="14"/>
  <c r="R8" i="14" s="1"/>
  <c r="M9" i="14"/>
  <c r="P9" i="14" s="1"/>
  <c r="N9" i="14"/>
  <c r="Q9" i="14" s="1"/>
  <c r="O9" i="14"/>
  <c r="R9" i="14" s="1"/>
  <c r="M10" i="14"/>
  <c r="P10" i="14" s="1"/>
  <c r="N10" i="14"/>
  <c r="Q10" i="14" s="1"/>
  <c r="O10" i="14"/>
  <c r="R10" i="14" s="1"/>
  <c r="M11" i="14"/>
  <c r="P11" i="14" s="1"/>
  <c r="N11" i="14"/>
  <c r="Q11" i="14" s="1"/>
  <c r="O11" i="14"/>
  <c r="R11" i="14" s="1"/>
  <c r="M12" i="14"/>
  <c r="P12" i="14" s="1"/>
  <c r="N12" i="14"/>
  <c r="Q12" i="14" s="1"/>
  <c r="O12" i="14"/>
  <c r="R12" i="14" s="1"/>
  <c r="M13" i="14"/>
  <c r="P13" i="14" s="1"/>
  <c r="N13" i="14"/>
  <c r="Q13" i="14" s="1"/>
  <c r="O13" i="14"/>
  <c r="R13" i="14" s="1"/>
  <c r="M14" i="14"/>
  <c r="P14" i="14" s="1"/>
  <c r="N14" i="14"/>
  <c r="Q14" i="14" s="1"/>
  <c r="O14" i="14"/>
  <c r="R14" i="14" s="1"/>
  <c r="M15" i="14"/>
  <c r="P15" i="14" s="1"/>
  <c r="N15" i="14"/>
  <c r="Q15" i="14" s="1"/>
  <c r="O15" i="14"/>
  <c r="R15" i="14" s="1"/>
  <c r="M16" i="14"/>
  <c r="P16" i="14" s="1"/>
  <c r="N16" i="14"/>
  <c r="Q16" i="14" s="1"/>
  <c r="O16" i="14"/>
  <c r="R16" i="14" s="1"/>
  <c r="M17" i="14"/>
  <c r="P17" i="14" s="1"/>
  <c r="N17" i="14"/>
  <c r="Q17" i="14" s="1"/>
  <c r="O17" i="14"/>
  <c r="R17" i="14" s="1"/>
  <c r="M18" i="14"/>
  <c r="P18" i="14" s="1"/>
  <c r="N18" i="14"/>
  <c r="Q18" i="14" s="1"/>
  <c r="O18" i="14"/>
  <c r="R18" i="14" s="1"/>
  <c r="M19" i="14"/>
  <c r="P19" i="14" s="1"/>
  <c r="N19" i="14"/>
  <c r="Q19" i="14" s="1"/>
  <c r="O19" i="14"/>
  <c r="R19" i="14" s="1"/>
  <c r="M20" i="14"/>
  <c r="P20" i="14" s="1"/>
  <c r="N20" i="14"/>
  <c r="Q20" i="14" s="1"/>
  <c r="O20" i="14"/>
  <c r="R20" i="14" s="1"/>
  <c r="M21" i="14"/>
  <c r="P21" i="14" s="1"/>
  <c r="N21" i="14"/>
  <c r="Q21" i="14" s="1"/>
  <c r="O21" i="14"/>
  <c r="R21" i="14" s="1"/>
  <c r="M22" i="14"/>
  <c r="P22" i="14" s="1"/>
  <c r="N22" i="14"/>
  <c r="Q22" i="14" s="1"/>
  <c r="O22" i="14"/>
  <c r="R22" i="14" s="1"/>
  <c r="M23" i="14"/>
  <c r="P23" i="14" s="1"/>
  <c r="N23" i="14"/>
  <c r="Q23" i="14" s="1"/>
  <c r="O23" i="14"/>
  <c r="R23" i="14" s="1"/>
  <c r="M24" i="14"/>
  <c r="P24" i="14" s="1"/>
  <c r="N24" i="14"/>
  <c r="Q24" i="14" s="1"/>
  <c r="O24" i="14"/>
  <c r="R24" i="14" s="1"/>
  <c r="M25" i="14"/>
  <c r="P25" i="14" s="1"/>
  <c r="N25" i="14"/>
  <c r="Q25" i="14" s="1"/>
  <c r="O25" i="14"/>
  <c r="R25" i="14" s="1"/>
  <c r="M26" i="14"/>
  <c r="P26" i="14" s="1"/>
  <c r="N26" i="14"/>
  <c r="Q26" i="14" s="1"/>
  <c r="O26" i="14"/>
  <c r="R26" i="14" s="1"/>
  <c r="M27" i="14"/>
  <c r="P27" i="14" s="1"/>
  <c r="N27" i="14"/>
  <c r="Q27" i="14" s="1"/>
  <c r="O27" i="14"/>
  <c r="R27" i="14" s="1"/>
  <c r="M28" i="14"/>
  <c r="P28" i="14" s="1"/>
  <c r="N28" i="14"/>
  <c r="Q28" i="14" s="1"/>
  <c r="O28" i="14"/>
  <c r="R28" i="14" s="1"/>
  <c r="M29" i="14"/>
  <c r="P29" i="14" s="1"/>
  <c r="N29" i="14"/>
  <c r="Q29" i="14" s="1"/>
  <c r="O29" i="14"/>
  <c r="R29" i="14" s="1"/>
  <c r="M30" i="14"/>
  <c r="P30" i="14" s="1"/>
  <c r="N30" i="14"/>
  <c r="Q30" i="14" s="1"/>
  <c r="O30" i="14"/>
  <c r="R30" i="14" s="1"/>
  <c r="M31" i="14"/>
  <c r="P31" i="14" s="1"/>
  <c r="N31" i="14"/>
  <c r="Q31" i="14" s="1"/>
  <c r="O31" i="14"/>
  <c r="R31" i="14" s="1"/>
  <c r="M32" i="14"/>
  <c r="P32" i="14" s="1"/>
  <c r="N32" i="14"/>
  <c r="Q32" i="14" s="1"/>
  <c r="O32" i="14"/>
  <c r="R32" i="14" s="1"/>
  <c r="M33" i="14"/>
  <c r="P33" i="14" s="1"/>
  <c r="N33" i="14"/>
  <c r="Q33" i="14" s="1"/>
  <c r="O33" i="14"/>
  <c r="R33" i="14" s="1"/>
  <c r="M34" i="14"/>
  <c r="P34" i="14" s="1"/>
  <c r="N34" i="14"/>
  <c r="Q34" i="14" s="1"/>
  <c r="O34" i="14"/>
  <c r="R34" i="14" s="1"/>
  <c r="M35" i="14"/>
  <c r="P35" i="14" s="1"/>
  <c r="N35" i="14"/>
  <c r="Q35" i="14" s="1"/>
  <c r="O35" i="14"/>
  <c r="R35" i="14" s="1"/>
  <c r="M36" i="14"/>
  <c r="P36" i="14" s="1"/>
  <c r="N36" i="14"/>
  <c r="Q36" i="14" s="1"/>
  <c r="O36" i="14"/>
  <c r="R36" i="14" s="1"/>
  <c r="M37" i="14"/>
  <c r="P37" i="14" s="1"/>
  <c r="N37" i="14"/>
  <c r="Q37" i="14" s="1"/>
  <c r="O37" i="14"/>
  <c r="R37" i="14" s="1"/>
  <c r="M38" i="14"/>
  <c r="P38" i="14" s="1"/>
  <c r="N38" i="14"/>
  <c r="Q38" i="14" s="1"/>
  <c r="O38" i="14"/>
  <c r="R38" i="14" s="1"/>
  <c r="M39" i="14"/>
  <c r="P39" i="14" s="1"/>
  <c r="N39" i="14"/>
  <c r="Q39" i="14" s="1"/>
  <c r="O39" i="14"/>
  <c r="R39" i="14" s="1"/>
  <c r="M40" i="14"/>
  <c r="P40" i="14" s="1"/>
  <c r="N40" i="14"/>
  <c r="Q40" i="14" s="1"/>
  <c r="O40" i="14"/>
  <c r="R40" i="14" s="1"/>
  <c r="M41" i="14"/>
  <c r="P41" i="14" s="1"/>
  <c r="N41" i="14"/>
  <c r="Q41" i="14" s="1"/>
  <c r="O41" i="14"/>
  <c r="R41" i="14" s="1"/>
  <c r="M42" i="14"/>
  <c r="P42" i="14" s="1"/>
  <c r="N42" i="14"/>
  <c r="Q42" i="14" s="1"/>
  <c r="O42" i="14"/>
  <c r="R42" i="14" s="1"/>
  <c r="M43" i="14"/>
  <c r="P43" i="14" s="1"/>
  <c r="N43" i="14"/>
  <c r="Q43" i="14" s="1"/>
  <c r="O43" i="14"/>
  <c r="R43" i="14" s="1"/>
  <c r="M44" i="14"/>
  <c r="P44" i="14" s="1"/>
  <c r="N44" i="14"/>
  <c r="Q44" i="14" s="1"/>
  <c r="O44" i="14"/>
  <c r="R44" i="14" s="1"/>
  <c r="M45" i="14"/>
  <c r="P45" i="14" s="1"/>
  <c r="N45" i="14"/>
  <c r="Q45" i="14" s="1"/>
  <c r="O45" i="14"/>
  <c r="R45" i="14" s="1"/>
  <c r="M46" i="14"/>
  <c r="P46" i="14" s="1"/>
  <c r="N46" i="14"/>
  <c r="Q46" i="14" s="1"/>
  <c r="O46" i="14"/>
  <c r="R46" i="14" s="1"/>
  <c r="M47" i="14"/>
  <c r="P47" i="14" s="1"/>
  <c r="N47" i="14"/>
  <c r="Q47" i="14" s="1"/>
  <c r="O47" i="14"/>
  <c r="R47" i="14" s="1"/>
  <c r="M48" i="14"/>
  <c r="P48" i="14" s="1"/>
  <c r="N48" i="14"/>
  <c r="Q48" i="14" s="1"/>
  <c r="O48" i="14"/>
  <c r="R48" i="14" s="1"/>
  <c r="M49" i="14"/>
  <c r="P49" i="14" s="1"/>
  <c r="N49" i="14"/>
  <c r="Q49" i="14" s="1"/>
  <c r="O49" i="14"/>
  <c r="R49" i="14" s="1"/>
  <c r="M50" i="14"/>
  <c r="P50" i="14" s="1"/>
  <c r="N50" i="14"/>
  <c r="Q50" i="14" s="1"/>
  <c r="O50" i="14"/>
  <c r="R50" i="14" s="1"/>
  <c r="M51" i="14"/>
  <c r="P51" i="14" s="1"/>
  <c r="N51" i="14"/>
  <c r="Q51" i="14" s="1"/>
  <c r="O51" i="14"/>
  <c r="R51" i="14" s="1"/>
  <c r="M52" i="14"/>
  <c r="P52" i="14" s="1"/>
  <c r="N52" i="14"/>
  <c r="Q52" i="14" s="1"/>
  <c r="O52" i="14"/>
  <c r="R52" i="14" s="1"/>
  <c r="M53" i="14"/>
  <c r="P53" i="14" s="1"/>
  <c r="N53" i="14"/>
  <c r="Q53" i="14" s="1"/>
  <c r="O53" i="14"/>
  <c r="R53" i="14" s="1"/>
  <c r="M54" i="14"/>
  <c r="P54" i="14" s="1"/>
  <c r="N54" i="14"/>
  <c r="Q54" i="14" s="1"/>
  <c r="O54" i="14"/>
  <c r="R54" i="14" s="1"/>
  <c r="M55" i="14"/>
  <c r="P55" i="14" s="1"/>
  <c r="N55" i="14"/>
  <c r="Q55" i="14" s="1"/>
  <c r="O55" i="14"/>
  <c r="R55" i="14" s="1"/>
  <c r="M56" i="14"/>
  <c r="P56" i="14" s="1"/>
  <c r="N56" i="14"/>
  <c r="Q56" i="14" s="1"/>
  <c r="O56" i="14"/>
  <c r="R56" i="14" s="1"/>
  <c r="M57" i="14"/>
  <c r="P57" i="14" s="1"/>
  <c r="N57" i="14"/>
  <c r="Q57" i="14" s="1"/>
  <c r="O57" i="14"/>
  <c r="R57" i="14" s="1"/>
  <c r="M58" i="14"/>
  <c r="P58" i="14" s="1"/>
  <c r="N58" i="14"/>
  <c r="Q58" i="14" s="1"/>
  <c r="O58" i="14"/>
  <c r="R58" i="14" s="1"/>
  <c r="M59" i="14"/>
  <c r="P59" i="14" s="1"/>
  <c r="N59" i="14"/>
  <c r="Q59" i="14" s="1"/>
  <c r="O59" i="14"/>
  <c r="R59" i="14" s="1"/>
  <c r="M60" i="14"/>
  <c r="P60" i="14" s="1"/>
  <c r="N60" i="14"/>
  <c r="Q60" i="14" s="1"/>
  <c r="O60" i="14"/>
  <c r="R60" i="14" s="1"/>
  <c r="M61" i="14"/>
  <c r="P61" i="14" s="1"/>
  <c r="N61" i="14"/>
  <c r="Q61" i="14" s="1"/>
  <c r="O61" i="14"/>
  <c r="R61" i="14" s="1"/>
  <c r="M62" i="14"/>
  <c r="P62" i="14" s="1"/>
  <c r="N62" i="14"/>
  <c r="Q62" i="14" s="1"/>
  <c r="O62" i="14"/>
  <c r="R62" i="14" s="1"/>
  <c r="M63" i="14"/>
  <c r="P63" i="14" s="1"/>
  <c r="N63" i="14"/>
  <c r="Q63" i="14" s="1"/>
  <c r="O63" i="14"/>
  <c r="R63" i="14" s="1"/>
  <c r="M64" i="14"/>
  <c r="P64" i="14" s="1"/>
  <c r="N64" i="14"/>
  <c r="Q64" i="14" s="1"/>
  <c r="O64" i="14"/>
  <c r="R64" i="14" s="1"/>
  <c r="M65" i="14"/>
  <c r="P65" i="14" s="1"/>
  <c r="N65" i="14"/>
  <c r="Q65" i="14" s="1"/>
  <c r="O65" i="14"/>
  <c r="R65" i="14" s="1"/>
  <c r="M66" i="14"/>
  <c r="P66" i="14" s="1"/>
  <c r="N66" i="14"/>
  <c r="Q66" i="14" s="1"/>
  <c r="O66" i="14"/>
  <c r="R66" i="14" s="1"/>
  <c r="O5" i="14"/>
  <c r="R5" i="14" s="1"/>
  <c r="N5" i="14"/>
  <c r="Q5" i="14" s="1"/>
  <c r="M5" i="14"/>
  <c r="P5" i="14" s="1"/>
  <c r="M7" i="13"/>
  <c r="P7" i="13" s="1"/>
  <c r="M8" i="13"/>
  <c r="P8" i="13" s="1"/>
  <c r="B1" i="13"/>
  <c r="C1" i="13"/>
  <c r="D1" i="13"/>
  <c r="E1" i="13"/>
  <c r="F1" i="13"/>
  <c r="G1" i="13"/>
  <c r="H1" i="13"/>
  <c r="I1" i="13"/>
  <c r="J1" i="13"/>
  <c r="K1" i="13"/>
  <c r="L1" i="13"/>
  <c r="M1" i="13"/>
  <c r="N1" i="13"/>
  <c r="O1" i="13"/>
  <c r="P1" i="13"/>
  <c r="Q1" i="13"/>
  <c r="R1" i="13"/>
  <c r="S1" i="13"/>
  <c r="A1" i="13"/>
  <c r="N8" i="13"/>
  <c r="Q8" i="13" s="1"/>
  <c r="O8" i="13"/>
  <c r="R8" i="13" s="1"/>
  <c r="M9" i="13"/>
  <c r="P9" i="13" s="1"/>
  <c r="N9" i="13"/>
  <c r="Q9" i="13" s="1"/>
  <c r="O9" i="13"/>
  <c r="R9" i="13" s="1"/>
  <c r="M10" i="13"/>
  <c r="P10" i="13" s="1"/>
  <c r="N10" i="13"/>
  <c r="Q10" i="13" s="1"/>
  <c r="O10" i="13"/>
  <c r="R10" i="13" s="1"/>
  <c r="M11" i="13"/>
  <c r="P11" i="13" s="1"/>
  <c r="N11" i="13"/>
  <c r="Q11" i="13" s="1"/>
  <c r="O11" i="13"/>
  <c r="R11" i="13" s="1"/>
  <c r="M12" i="13"/>
  <c r="P12" i="13" s="1"/>
  <c r="N12" i="13"/>
  <c r="Q12" i="13" s="1"/>
  <c r="O12" i="13"/>
  <c r="R12" i="13" s="1"/>
  <c r="M13" i="13"/>
  <c r="P13" i="13" s="1"/>
  <c r="N13" i="13"/>
  <c r="Q13" i="13" s="1"/>
  <c r="O13" i="13"/>
  <c r="R13" i="13" s="1"/>
  <c r="M14" i="13"/>
  <c r="P14" i="13" s="1"/>
  <c r="N14" i="13"/>
  <c r="Q14" i="13" s="1"/>
  <c r="O14" i="13"/>
  <c r="R14" i="13" s="1"/>
  <c r="M15" i="13"/>
  <c r="P15" i="13" s="1"/>
  <c r="N15" i="13"/>
  <c r="Q15" i="13" s="1"/>
  <c r="O15" i="13"/>
  <c r="R15" i="13" s="1"/>
  <c r="M16" i="13"/>
  <c r="P16" i="13" s="1"/>
  <c r="N16" i="13"/>
  <c r="Q16" i="13" s="1"/>
  <c r="O16" i="13"/>
  <c r="R16" i="13" s="1"/>
  <c r="M17" i="13"/>
  <c r="P17" i="13" s="1"/>
  <c r="N17" i="13"/>
  <c r="Q17" i="13" s="1"/>
  <c r="O17" i="13"/>
  <c r="R17" i="13" s="1"/>
  <c r="M18" i="13"/>
  <c r="P18" i="13" s="1"/>
  <c r="N18" i="13"/>
  <c r="Q18" i="13" s="1"/>
  <c r="O18" i="13"/>
  <c r="R18" i="13" s="1"/>
  <c r="M19" i="13"/>
  <c r="P19" i="13" s="1"/>
  <c r="N19" i="13"/>
  <c r="Q19" i="13" s="1"/>
  <c r="O19" i="13"/>
  <c r="R19" i="13" s="1"/>
  <c r="M20" i="13"/>
  <c r="P20" i="13" s="1"/>
  <c r="N20" i="13"/>
  <c r="Q20" i="13" s="1"/>
  <c r="O20" i="13"/>
  <c r="R20" i="13" s="1"/>
  <c r="M21" i="13"/>
  <c r="P21" i="13" s="1"/>
  <c r="N21" i="13"/>
  <c r="Q21" i="13" s="1"/>
  <c r="O21" i="13"/>
  <c r="R21" i="13" s="1"/>
  <c r="M22" i="13"/>
  <c r="P22" i="13" s="1"/>
  <c r="N22" i="13"/>
  <c r="Q22" i="13" s="1"/>
  <c r="O22" i="13"/>
  <c r="R22" i="13" s="1"/>
  <c r="M23" i="13"/>
  <c r="P23" i="13" s="1"/>
  <c r="N23" i="13"/>
  <c r="Q23" i="13" s="1"/>
  <c r="O23" i="13"/>
  <c r="R23" i="13" s="1"/>
  <c r="M24" i="13"/>
  <c r="P24" i="13" s="1"/>
  <c r="N24" i="13"/>
  <c r="Q24" i="13" s="1"/>
  <c r="O24" i="13"/>
  <c r="R24" i="13" s="1"/>
  <c r="M25" i="13"/>
  <c r="P25" i="13" s="1"/>
  <c r="N25" i="13"/>
  <c r="Q25" i="13" s="1"/>
  <c r="O25" i="13"/>
  <c r="R25" i="13" s="1"/>
  <c r="M26" i="13"/>
  <c r="P26" i="13" s="1"/>
  <c r="N26" i="13"/>
  <c r="Q26" i="13" s="1"/>
  <c r="O26" i="13"/>
  <c r="R26" i="13" s="1"/>
  <c r="M27" i="13"/>
  <c r="P27" i="13" s="1"/>
  <c r="N27" i="13"/>
  <c r="Q27" i="13" s="1"/>
  <c r="O27" i="13"/>
  <c r="R27" i="13" s="1"/>
  <c r="M28" i="13"/>
  <c r="P28" i="13" s="1"/>
  <c r="N28" i="13"/>
  <c r="Q28" i="13" s="1"/>
  <c r="O28" i="13"/>
  <c r="R28" i="13" s="1"/>
  <c r="M29" i="13"/>
  <c r="P29" i="13" s="1"/>
  <c r="N29" i="13"/>
  <c r="Q29" i="13" s="1"/>
  <c r="O29" i="13"/>
  <c r="R29" i="13" s="1"/>
  <c r="M30" i="13"/>
  <c r="P30" i="13" s="1"/>
  <c r="N30" i="13"/>
  <c r="Q30" i="13" s="1"/>
  <c r="O30" i="13"/>
  <c r="R30" i="13" s="1"/>
  <c r="M31" i="13"/>
  <c r="P31" i="13" s="1"/>
  <c r="N31" i="13"/>
  <c r="Q31" i="13" s="1"/>
  <c r="O31" i="13"/>
  <c r="R31" i="13" s="1"/>
  <c r="M32" i="13"/>
  <c r="P32" i="13" s="1"/>
  <c r="N32" i="13"/>
  <c r="Q32" i="13" s="1"/>
  <c r="O32" i="13"/>
  <c r="R32" i="13" s="1"/>
  <c r="M33" i="13"/>
  <c r="P33" i="13" s="1"/>
  <c r="N33" i="13"/>
  <c r="Q33" i="13" s="1"/>
  <c r="O33" i="13"/>
  <c r="R33" i="13" s="1"/>
  <c r="M34" i="13"/>
  <c r="P34" i="13" s="1"/>
  <c r="N34" i="13"/>
  <c r="Q34" i="13" s="1"/>
  <c r="O34" i="13"/>
  <c r="R34" i="13" s="1"/>
  <c r="M35" i="13"/>
  <c r="P35" i="13" s="1"/>
  <c r="N35" i="13"/>
  <c r="Q35" i="13" s="1"/>
  <c r="O35" i="13"/>
  <c r="R35" i="13" s="1"/>
  <c r="M36" i="13"/>
  <c r="P36" i="13" s="1"/>
  <c r="N36" i="13"/>
  <c r="Q36" i="13" s="1"/>
  <c r="O36" i="13"/>
  <c r="R36" i="13" s="1"/>
  <c r="M37" i="13"/>
  <c r="P37" i="13" s="1"/>
  <c r="N37" i="13"/>
  <c r="Q37" i="13" s="1"/>
  <c r="O37" i="13"/>
  <c r="R37" i="13" s="1"/>
  <c r="M38" i="13"/>
  <c r="P38" i="13" s="1"/>
  <c r="N38" i="13"/>
  <c r="Q38" i="13" s="1"/>
  <c r="O38" i="13"/>
  <c r="R38" i="13" s="1"/>
  <c r="M39" i="13"/>
  <c r="P39" i="13" s="1"/>
  <c r="N39" i="13"/>
  <c r="Q39" i="13" s="1"/>
  <c r="O39" i="13"/>
  <c r="R39" i="13" s="1"/>
  <c r="M40" i="13"/>
  <c r="P40" i="13" s="1"/>
  <c r="N40" i="13"/>
  <c r="Q40" i="13" s="1"/>
  <c r="O40" i="13"/>
  <c r="R40" i="13" s="1"/>
  <c r="M41" i="13"/>
  <c r="P41" i="13" s="1"/>
  <c r="N41" i="13"/>
  <c r="Q41" i="13" s="1"/>
  <c r="O41" i="13"/>
  <c r="R41" i="13" s="1"/>
  <c r="M42" i="13"/>
  <c r="P42" i="13" s="1"/>
  <c r="N42" i="13"/>
  <c r="Q42" i="13" s="1"/>
  <c r="O42" i="13"/>
  <c r="R42" i="13" s="1"/>
  <c r="M43" i="13"/>
  <c r="P43" i="13" s="1"/>
  <c r="N43" i="13"/>
  <c r="Q43" i="13" s="1"/>
  <c r="O43" i="13"/>
  <c r="R43" i="13" s="1"/>
  <c r="M44" i="13"/>
  <c r="P44" i="13" s="1"/>
  <c r="N44" i="13"/>
  <c r="Q44" i="13" s="1"/>
  <c r="O44" i="13"/>
  <c r="R44" i="13" s="1"/>
  <c r="M45" i="13"/>
  <c r="P45" i="13" s="1"/>
  <c r="N45" i="13"/>
  <c r="Q45" i="13" s="1"/>
  <c r="O45" i="13"/>
  <c r="R45" i="13" s="1"/>
  <c r="M46" i="13"/>
  <c r="P46" i="13" s="1"/>
  <c r="N46" i="13"/>
  <c r="Q46" i="13" s="1"/>
  <c r="O46" i="13"/>
  <c r="R46" i="13" s="1"/>
  <c r="M47" i="13"/>
  <c r="P47" i="13" s="1"/>
  <c r="N47" i="13"/>
  <c r="Q47" i="13" s="1"/>
  <c r="O47" i="13"/>
  <c r="R47" i="13" s="1"/>
  <c r="M48" i="13"/>
  <c r="P48" i="13" s="1"/>
  <c r="N48" i="13"/>
  <c r="Q48" i="13" s="1"/>
  <c r="O48" i="13"/>
  <c r="R48" i="13" s="1"/>
  <c r="M49" i="13"/>
  <c r="P49" i="13" s="1"/>
  <c r="N49" i="13"/>
  <c r="Q49" i="13" s="1"/>
  <c r="O49" i="13"/>
  <c r="R49" i="13" s="1"/>
  <c r="M50" i="13"/>
  <c r="P50" i="13" s="1"/>
  <c r="N50" i="13"/>
  <c r="Q50" i="13" s="1"/>
  <c r="O50" i="13"/>
  <c r="R50" i="13" s="1"/>
  <c r="M51" i="13"/>
  <c r="P51" i="13" s="1"/>
  <c r="N51" i="13"/>
  <c r="Q51" i="13" s="1"/>
  <c r="O51" i="13"/>
  <c r="R51" i="13" s="1"/>
  <c r="M52" i="13"/>
  <c r="P52" i="13" s="1"/>
  <c r="N52" i="13"/>
  <c r="Q52" i="13" s="1"/>
  <c r="O52" i="13"/>
  <c r="R52" i="13" s="1"/>
  <c r="M53" i="13"/>
  <c r="P53" i="13" s="1"/>
  <c r="N53" i="13"/>
  <c r="Q53" i="13" s="1"/>
  <c r="O53" i="13"/>
  <c r="R53" i="13" s="1"/>
  <c r="M54" i="13"/>
  <c r="P54" i="13" s="1"/>
  <c r="N54" i="13"/>
  <c r="Q54" i="13" s="1"/>
  <c r="O54" i="13"/>
  <c r="R54" i="13" s="1"/>
  <c r="M55" i="13"/>
  <c r="P55" i="13" s="1"/>
  <c r="N55" i="13"/>
  <c r="Q55" i="13" s="1"/>
  <c r="O55" i="13"/>
  <c r="R55" i="13" s="1"/>
  <c r="M56" i="13"/>
  <c r="P56" i="13" s="1"/>
  <c r="N56" i="13"/>
  <c r="Q56" i="13" s="1"/>
  <c r="O56" i="13"/>
  <c r="R56" i="13" s="1"/>
  <c r="M57" i="13"/>
  <c r="P57" i="13" s="1"/>
  <c r="N57" i="13"/>
  <c r="Q57" i="13" s="1"/>
  <c r="O57" i="13"/>
  <c r="R57" i="13" s="1"/>
  <c r="M58" i="13"/>
  <c r="P58" i="13" s="1"/>
  <c r="N58" i="13"/>
  <c r="Q58" i="13" s="1"/>
  <c r="O58" i="13"/>
  <c r="R58" i="13" s="1"/>
  <c r="M59" i="13"/>
  <c r="P59" i="13" s="1"/>
  <c r="N59" i="13"/>
  <c r="Q59" i="13" s="1"/>
  <c r="O59" i="13"/>
  <c r="R59" i="13" s="1"/>
  <c r="M60" i="13"/>
  <c r="P60" i="13" s="1"/>
  <c r="N60" i="13"/>
  <c r="Q60" i="13" s="1"/>
  <c r="O60" i="13"/>
  <c r="R60" i="13" s="1"/>
  <c r="M61" i="13"/>
  <c r="P61" i="13" s="1"/>
  <c r="N61" i="13"/>
  <c r="Q61" i="13" s="1"/>
  <c r="O61" i="13"/>
  <c r="R61" i="13" s="1"/>
  <c r="M62" i="13"/>
  <c r="P62" i="13" s="1"/>
  <c r="N62" i="13"/>
  <c r="Q62" i="13" s="1"/>
  <c r="O62" i="13"/>
  <c r="R62" i="13" s="1"/>
  <c r="M63" i="13"/>
  <c r="P63" i="13" s="1"/>
  <c r="N63" i="13"/>
  <c r="Q63" i="13" s="1"/>
  <c r="O63" i="13"/>
  <c r="R63" i="13" s="1"/>
  <c r="M64" i="13"/>
  <c r="P64" i="13" s="1"/>
  <c r="N64" i="13"/>
  <c r="Q64" i="13" s="1"/>
  <c r="O64" i="13"/>
  <c r="R64" i="13" s="1"/>
  <c r="M65" i="13"/>
  <c r="P65" i="13" s="1"/>
  <c r="N65" i="13"/>
  <c r="Q65" i="13" s="1"/>
  <c r="O65" i="13"/>
  <c r="R65" i="13" s="1"/>
  <c r="M66" i="13"/>
  <c r="P66" i="13" s="1"/>
  <c r="N66" i="13"/>
  <c r="Q66" i="13" s="1"/>
  <c r="O66" i="13"/>
  <c r="R66" i="13" s="1"/>
  <c r="M67" i="13"/>
  <c r="P67" i="13" s="1"/>
  <c r="N67" i="13"/>
  <c r="Q67" i="13" s="1"/>
  <c r="O67" i="13"/>
  <c r="R67" i="13" s="1"/>
  <c r="M68" i="13"/>
  <c r="P68" i="13" s="1"/>
  <c r="N68" i="13"/>
  <c r="Q68" i="13" s="1"/>
  <c r="O68" i="13"/>
  <c r="R68" i="13" s="1"/>
  <c r="N7" i="13"/>
  <c r="Q7" i="13" s="1"/>
  <c r="O7" i="13"/>
  <c r="R7" i="13" s="1"/>
  <c r="O5" i="15"/>
  <c r="O6" i="15"/>
  <c r="O7" i="15"/>
  <c r="O8" i="15"/>
  <c r="O9" i="15"/>
  <c r="O10" i="15"/>
  <c r="O11" i="15"/>
  <c r="O12" i="15"/>
  <c r="O13" i="15"/>
  <c r="O14" i="15"/>
  <c r="O15" i="15"/>
  <c r="O16" i="15"/>
  <c r="O17" i="15"/>
  <c r="O18" i="15"/>
  <c r="O19" i="15"/>
  <c r="O20" i="15"/>
  <c r="O21" i="15"/>
  <c r="O22" i="15"/>
  <c r="O23" i="15"/>
  <c r="O24" i="15"/>
  <c r="O25" i="15"/>
  <c r="O26" i="15"/>
  <c r="O27" i="15"/>
  <c r="O28" i="15"/>
  <c r="O29" i="15"/>
  <c r="O30" i="15"/>
  <c r="O31" i="15"/>
  <c r="O32" i="15"/>
  <c r="O33" i="15"/>
  <c r="O34" i="15"/>
  <c r="O35" i="15"/>
  <c r="O36" i="15"/>
  <c r="O37" i="15"/>
  <c r="O38" i="15"/>
  <c r="O39" i="15"/>
  <c r="O40" i="15"/>
  <c r="O41" i="15"/>
  <c r="O42" i="15"/>
  <c r="O43" i="15"/>
  <c r="O44" i="15"/>
  <c r="O45" i="15"/>
  <c r="O46" i="15"/>
  <c r="O47" i="15"/>
  <c r="O48" i="15"/>
  <c r="O49" i="15"/>
  <c r="O50" i="15"/>
  <c r="P50" i="15" s="1"/>
  <c r="O51" i="15"/>
  <c r="O52" i="15"/>
  <c r="O53" i="15"/>
  <c r="O54" i="15"/>
  <c r="O55" i="15"/>
  <c r="O56" i="15"/>
  <c r="O57" i="15"/>
  <c r="O58" i="15"/>
  <c r="O59" i="15"/>
  <c r="O60" i="15"/>
  <c r="O61" i="15"/>
  <c r="O62" i="15"/>
  <c r="O63" i="15"/>
  <c r="O64" i="15"/>
  <c r="O65" i="15"/>
  <c r="O66" i="15"/>
  <c r="M6" i="15"/>
  <c r="M7" i="15"/>
  <c r="M8" i="15"/>
  <c r="N8" i="15" s="1"/>
  <c r="M9" i="15"/>
  <c r="M10" i="15"/>
  <c r="M11" i="15"/>
  <c r="M12" i="15"/>
  <c r="M13" i="15"/>
  <c r="M14" i="15"/>
  <c r="M15" i="15"/>
  <c r="M16" i="15"/>
  <c r="M17" i="15"/>
  <c r="M18" i="15"/>
  <c r="M19" i="15"/>
  <c r="M20" i="15"/>
  <c r="M21" i="15"/>
  <c r="M22" i="15"/>
  <c r="M23" i="15"/>
  <c r="M24" i="15"/>
  <c r="M25" i="15"/>
  <c r="M26" i="15"/>
  <c r="M27" i="15"/>
  <c r="M28" i="15"/>
  <c r="M29" i="15"/>
  <c r="M30" i="15"/>
  <c r="M31" i="15"/>
  <c r="M32" i="15"/>
  <c r="M33" i="15"/>
  <c r="M34" i="15"/>
  <c r="M35" i="15"/>
  <c r="M36" i="15"/>
  <c r="M37" i="15"/>
  <c r="M38" i="15"/>
  <c r="M39" i="15"/>
  <c r="M40" i="15"/>
  <c r="M41" i="15"/>
  <c r="M42" i="15"/>
  <c r="M43" i="15"/>
  <c r="M44" i="15"/>
  <c r="M45" i="15"/>
  <c r="M46" i="15"/>
  <c r="M47" i="15"/>
  <c r="M48" i="15"/>
  <c r="M49" i="15"/>
  <c r="M50" i="15"/>
  <c r="N50" i="15" s="1"/>
  <c r="M51" i="15"/>
  <c r="M52" i="15"/>
  <c r="M53" i="15"/>
  <c r="M54" i="15"/>
  <c r="M55" i="15"/>
  <c r="M56" i="15"/>
  <c r="M57" i="15"/>
  <c r="M58" i="15"/>
  <c r="M59" i="15"/>
  <c r="M60" i="15"/>
  <c r="M61" i="15"/>
  <c r="M62" i="15"/>
  <c r="M63" i="15"/>
  <c r="M64" i="15"/>
  <c r="M65" i="15"/>
  <c r="M66" i="15"/>
  <c r="M5" i="15"/>
  <c r="J6" i="15"/>
  <c r="J7" i="15"/>
  <c r="J8" i="15"/>
  <c r="K8" i="15" s="1"/>
  <c r="J9" i="15"/>
  <c r="J10" i="15"/>
  <c r="J11" i="15"/>
  <c r="J12" i="15"/>
  <c r="K12" i="15" s="1"/>
  <c r="J13" i="15"/>
  <c r="J14" i="15"/>
  <c r="J15" i="15"/>
  <c r="J16" i="15"/>
  <c r="J17" i="15"/>
  <c r="J18" i="15"/>
  <c r="K18" i="15" s="1"/>
  <c r="J19" i="15"/>
  <c r="J20" i="15"/>
  <c r="J21" i="15"/>
  <c r="J22" i="15"/>
  <c r="J23" i="15"/>
  <c r="J24" i="15"/>
  <c r="J25" i="15"/>
  <c r="J26" i="15"/>
  <c r="J27" i="15"/>
  <c r="J28" i="15"/>
  <c r="J29" i="15"/>
  <c r="J30" i="15"/>
  <c r="J31" i="15"/>
  <c r="J32" i="15"/>
  <c r="J33" i="15"/>
  <c r="J34" i="15"/>
  <c r="J35" i="15"/>
  <c r="J36" i="15"/>
  <c r="J37" i="15"/>
  <c r="J38" i="15"/>
  <c r="J39" i="15"/>
  <c r="J40" i="15"/>
  <c r="J41" i="15"/>
  <c r="J42" i="15"/>
  <c r="J43" i="15"/>
  <c r="J44" i="15"/>
  <c r="J45" i="15"/>
  <c r="J46" i="15"/>
  <c r="J47" i="15"/>
  <c r="J48" i="15"/>
  <c r="J49" i="15"/>
  <c r="J50" i="15"/>
  <c r="J51" i="15"/>
  <c r="J52" i="15"/>
  <c r="J53" i="15"/>
  <c r="J54" i="15"/>
  <c r="J55" i="15"/>
  <c r="J56" i="15"/>
  <c r="J57" i="15"/>
  <c r="J58" i="15"/>
  <c r="J59" i="15"/>
  <c r="J60" i="15"/>
  <c r="J61" i="15"/>
  <c r="J62" i="15"/>
  <c r="J63" i="15"/>
  <c r="J64" i="15"/>
  <c r="J65" i="15"/>
  <c r="J66" i="15"/>
  <c r="J5" i="15"/>
  <c r="H6" i="15"/>
  <c r="H7" i="15"/>
  <c r="H8" i="15"/>
  <c r="I8" i="15" s="1"/>
  <c r="H9" i="15"/>
  <c r="H10" i="15"/>
  <c r="H11" i="15"/>
  <c r="H12" i="15"/>
  <c r="H13" i="15"/>
  <c r="H14" i="15"/>
  <c r="H15" i="15"/>
  <c r="H16" i="15"/>
  <c r="H17" i="15"/>
  <c r="H18" i="15"/>
  <c r="I18" i="15" s="1"/>
  <c r="H19" i="15"/>
  <c r="H20" i="15"/>
  <c r="H21" i="15"/>
  <c r="H22" i="15"/>
  <c r="H23" i="15"/>
  <c r="H24" i="15"/>
  <c r="H25" i="15"/>
  <c r="H26" i="15"/>
  <c r="H27" i="15"/>
  <c r="H28" i="15"/>
  <c r="H29" i="15"/>
  <c r="I29" i="15" s="1"/>
  <c r="H30" i="15"/>
  <c r="H31" i="15"/>
  <c r="H32" i="15"/>
  <c r="H33" i="15"/>
  <c r="H34" i="15"/>
  <c r="H35" i="15"/>
  <c r="H36" i="15"/>
  <c r="H37" i="15"/>
  <c r="H38" i="15"/>
  <c r="H39" i="15"/>
  <c r="H40" i="15"/>
  <c r="H41" i="15"/>
  <c r="H42" i="15"/>
  <c r="H43" i="15"/>
  <c r="H44" i="15"/>
  <c r="H45" i="15"/>
  <c r="H46" i="15"/>
  <c r="H47" i="15"/>
  <c r="H48" i="15"/>
  <c r="H49" i="15"/>
  <c r="H50" i="15"/>
  <c r="H51" i="15"/>
  <c r="H52" i="15"/>
  <c r="H53" i="15"/>
  <c r="H54" i="15"/>
  <c r="H55" i="15"/>
  <c r="H56" i="15"/>
  <c r="H57" i="15"/>
  <c r="H58" i="15"/>
  <c r="H59" i="15"/>
  <c r="H60" i="15"/>
  <c r="H61" i="15"/>
  <c r="H62" i="15"/>
  <c r="H63" i="15"/>
  <c r="H64" i="15"/>
  <c r="H65" i="15"/>
  <c r="H66" i="15"/>
  <c r="H5" i="15"/>
  <c r="G66" i="15"/>
  <c r="G65" i="15"/>
  <c r="G64" i="15"/>
  <c r="G63" i="15"/>
  <c r="G62" i="15"/>
  <c r="G61" i="15"/>
  <c r="G60" i="15"/>
  <c r="G59" i="15"/>
  <c r="G58" i="15"/>
  <c r="G57" i="15"/>
  <c r="G56" i="15"/>
  <c r="G55" i="15"/>
  <c r="G54" i="15"/>
  <c r="G53" i="15"/>
  <c r="G52" i="15"/>
  <c r="G51" i="15"/>
  <c r="G50" i="15"/>
  <c r="G49" i="15"/>
  <c r="G48" i="15"/>
  <c r="G47" i="15"/>
  <c r="G46" i="15"/>
  <c r="G45" i="15"/>
  <c r="G44" i="15"/>
  <c r="G43" i="15"/>
  <c r="G42" i="15"/>
  <c r="G41" i="15"/>
  <c r="G40" i="15"/>
  <c r="G39" i="15"/>
  <c r="G38" i="15"/>
  <c r="G37" i="15"/>
  <c r="G36" i="15"/>
  <c r="G35" i="15"/>
  <c r="G34" i="15"/>
  <c r="G33" i="15"/>
  <c r="G32" i="15"/>
  <c r="G31" i="15"/>
  <c r="G30" i="15"/>
  <c r="G29" i="15"/>
  <c r="G28" i="15"/>
  <c r="G27" i="15"/>
  <c r="G26" i="15"/>
  <c r="G25" i="15"/>
  <c r="G24" i="15"/>
  <c r="G23" i="15"/>
  <c r="G22" i="15"/>
  <c r="G21" i="15"/>
  <c r="G20" i="15"/>
  <c r="G19" i="15"/>
  <c r="G18" i="15"/>
  <c r="G17" i="15"/>
  <c r="G16" i="15"/>
  <c r="G15" i="15"/>
  <c r="G14" i="15"/>
  <c r="G13" i="15"/>
  <c r="G12" i="15"/>
  <c r="G11" i="15"/>
  <c r="G10" i="15"/>
  <c r="G9" i="15"/>
  <c r="G8" i="15"/>
  <c r="G7" i="15"/>
  <c r="G6" i="15"/>
  <c r="G5" i="15"/>
  <c r="J6" i="14"/>
  <c r="J7" i="14"/>
  <c r="J8" i="14"/>
  <c r="J9" i="14"/>
  <c r="J10" i="14"/>
  <c r="J11" i="14"/>
  <c r="J12" i="14"/>
  <c r="J13" i="14"/>
  <c r="J14" i="14"/>
  <c r="J15" i="14"/>
  <c r="J16" i="14"/>
  <c r="J17" i="14"/>
  <c r="J18" i="14"/>
  <c r="J19" i="14"/>
  <c r="J20" i="14"/>
  <c r="J21" i="14"/>
  <c r="J22" i="14"/>
  <c r="J23" i="14"/>
  <c r="J24" i="14"/>
  <c r="J25" i="14"/>
  <c r="J26" i="14"/>
  <c r="J27" i="14"/>
  <c r="J28" i="14"/>
  <c r="J29" i="14"/>
  <c r="J30" i="14"/>
  <c r="J31" i="14"/>
  <c r="J32" i="14"/>
  <c r="J33" i="14"/>
  <c r="J34" i="14"/>
  <c r="J35" i="14"/>
  <c r="J36" i="14"/>
  <c r="J37" i="14"/>
  <c r="J38" i="14"/>
  <c r="J39" i="14"/>
  <c r="J40" i="14"/>
  <c r="J41" i="14"/>
  <c r="J42" i="14"/>
  <c r="J43" i="14"/>
  <c r="J44" i="14"/>
  <c r="J45" i="14"/>
  <c r="J46" i="14"/>
  <c r="J47" i="14"/>
  <c r="J48" i="14"/>
  <c r="J49" i="14"/>
  <c r="J50" i="14"/>
  <c r="J51" i="14"/>
  <c r="J52" i="14"/>
  <c r="J53" i="14"/>
  <c r="J54" i="14"/>
  <c r="J55" i="14"/>
  <c r="J56" i="14"/>
  <c r="J57" i="14"/>
  <c r="J58" i="14"/>
  <c r="J59" i="14"/>
  <c r="J60" i="14"/>
  <c r="J61" i="14"/>
  <c r="J62" i="14"/>
  <c r="J63" i="14"/>
  <c r="J64" i="14"/>
  <c r="J65" i="14"/>
  <c r="J66" i="14"/>
  <c r="J5" i="14"/>
  <c r="H6" i="14"/>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35" i="14"/>
  <c r="H36" i="14"/>
  <c r="H37" i="14"/>
  <c r="H38" i="14"/>
  <c r="H39" i="14"/>
  <c r="H40" i="14"/>
  <c r="H41" i="14"/>
  <c r="H42" i="14"/>
  <c r="H43" i="14"/>
  <c r="H44" i="14"/>
  <c r="H45" i="14"/>
  <c r="H46" i="14"/>
  <c r="H47" i="14"/>
  <c r="H48" i="14"/>
  <c r="H49" i="14"/>
  <c r="H50" i="14"/>
  <c r="H51" i="14"/>
  <c r="H52" i="14"/>
  <c r="H53" i="14"/>
  <c r="H54" i="14"/>
  <c r="H55" i="14"/>
  <c r="H56" i="14"/>
  <c r="H57" i="14"/>
  <c r="H58" i="14"/>
  <c r="H59" i="14"/>
  <c r="H60" i="14"/>
  <c r="H61" i="14"/>
  <c r="H62" i="14"/>
  <c r="H63" i="14"/>
  <c r="H64" i="14"/>
  <c r="H65" i="14"/>
  <c r="H66" i="14"/>
  <c r="H5" i="14"/>
  <c r="BC5" i="17" l="1"/>
  <c r="H5" i="17"/>
  <c r="AX5" i="17"/>
  <c r="AP5" i="17"/>
  <c r="AD5" i="17"/>
  <c r="BI5" i="17"/>
  <c r="BE5" i="17"/>
  <c r="BA5" i="17"/>
  <c r="AW5" i="17"/>
  <c r="AS5" i="17"/>
  <c r="AO5" i="17"/>
  <c r="AK5" i="17"/>
  <c r="AG5" i="17"/>
  <c r="AC5" i="17"/>
  <c r="Y5" i="17"/>
  <c r="U5" i="17"/>
  <c r="Q5" i="17"/>
  <c r="M5" i="17"/>
  <c r="I5" i="17"/>
  <c r="BG5" i="17"/>
  <c r="AY5" i="17"/>
  <c r="AU5" i="17"/>
  <c r="AQ5" i="17"/>
  <c r="AM5" i="17"/>
  <c r="AI5" i="17"/>
  <c r="AE5" i="17"/>
  <c r="AA5" i="17"/>
  <c r="W5" i="17"/>
  <c r="S5" i="17"/>
  <c r="O5" i="17"/>
  <c r="K5" i="17"/>
  <c r="BF5" i="17"/>
  <c r="BB5" i="17"/>
  <c r="AT5" i="17"/>
  <c r="AL5" i="17"/>
  <c r="AH5" i="17"/>
  <c r="Z5" i="17"/>
  <c r="V5" i="17"/>
  <c r="R5" i="17"/>
  <c r="N5" i="17"/>
  <c r="J5" i="17"/>
  <c r="BH5" i="17"/>
  <c r="BD5" i="17"/>
  <c r="AZ5" i="17"/>
  <c r="AV5" i="17"/>
  <c r="AR5" i="17"/>
  <c r="AN5" i="17"/>
  <c r="AJ5" i="17"/>
  <c r="AF5" i="17"/>
  <c r="AB5" i="17"/>
  <c r="X5" i="17"/>
  <c r="T5" i="17"/>
  <c r="P5" i="17"/>
  <c r="L5" i="17"/>
  <c r="M9" i="17"/>
  <c r="M70" i="17"/>
  <c r="H68" i="18" s="1"/>
  <c r="N69" i="17"/>
  <c r="J67" i="18" s="1"/>
  <c r="J69" i="17"/>
  <c r="M67" i="18" s="1"/>
  <c r="P67" i="18" s="1"/>
  <c r="K68" i="17"/>
  <c r="N66" i="18" s="1"/>
  <c r="Q66" i="18" s="1"/>
  <c r="L67" i="17"/>
  <c r="O65" i="18" s="1"/>
  <c r="R65" i="18" s="1"/>
  <c r="M66" i="17"/>
  <c r="H31" i="18" s="1"/>
  <c r="N65" i="17"/>
  <c r="J64" i="18" s="1"/>
  <c r="J65" i="17"/>
  <c r="M64" i="18" s="1"/>
  <c r="P64" i="18" s="1"/>
  <c r="K64" i="17"/>
  <c r="N30" i="18" s="1"/>
  <c r="Q30" i="18" s="1"/>
  <c r="L63" i="17"/>
  <c r="O62" i="18" s="1"/>
  <c r="R62" i="18" s="1"/>
  <c r="M62" i="17"/>
  <c r="H63" i="18" s="1"/>
  <c r="N61" i="17"/>
  <c r="J29" i="18" s="1"/>
  <c r="K29" i="18" s="1"/>
  <c r="J61" i="17"/>
  <c r="M29" i="18" s="1"/>
  <c r="P29" i="18" s="1"/>
  <c r="K60" i="17"/>
  <c r="N61" i="18" s="1"/>
  <c r="Q61" i="18" s="1"/>
  <c r="L59" i="17"/>
  <c r="O50" i="18" s="1"/>
  <c r="R50" i="18" s="1"/>
  <c r="M58" i="17"/>
  <c r="H11" i="18" s="1"/>
  <c r="N57" i="17"/>
  <c r="J28" i="18" s="1"/>
  <c r="J57" i="17"/>
  <c r="M28" i="18" s="1"/>
  <c r="P28" i="18" s="1"/>
  <c r="K56" i="17"/>
  <c r="N27" i="18" s="1"/>
  <c r="Q27" i="18" s="1"/>
  <c r="L55" i="17"/>
  <c r="O26" i="18" s="1"/>
  <c r="R26" i="18" s="1"/>
  <c r="M54" i="17"/>
  <c r="H25" i="18" s="1"/>
  <c r="N53" i="17"/>
  <c r="J24" i="18" s="1"/>
  <c r="J53" i="17"/>
  <c r="M24" i="18" s="1"/>
  <c r="P24" i="18" s="1"/>
  <c r="K52" i="17"/>
  <c r="L51" i="17"/>
  <c r="O60" i="18" s="1"/>
  <c r="R60" i="18" s="1"/>
  <c r="M50" i="17"/>
  <c r="H22" i="18" s="1"/>
  <c r="N49" i="17"/>
  <c r="J58" i="18" s="1"/>
  <c r="J49" i="17"/>
  <c r="M58" i="18" s="1"/>
  <c r="P58" i="18" s="1"/>
  <c r="K48" i="17"/>
  <c r="N57" i="18" s="1"/>
  <c r="Q57" i="18" s="1"/>
  <c r="L47" i="17"/>
  <c r="O59" i="18" s="1"/>
  <c r="R59" i="18" s="1"/>
  <c r="M46" i="17"/>
  <c r="H20" i="18" s="1"/>
  <c r="N45" i="17"/>
  <c r="J21" i="18" s="1"/>
  <c r="J45" i="17"/>
  <c r="M21" i="18" s="1"/>
  <c r="P21" i="18" s="1"/>
  <c r="K44" i="17"/>
  <c r="N53" i="18" s="1"/>
  <c r="Q53" i="18" s="1"/>
  <c r="L43" i="17"/>
  <c r="O54" i="18" s="1"/>
  <c r="R54" i="18" s="1"/>
  <c r="M42" i="17"/>
  <c r="H51" i="18" s="1"/>
  <c r="N41" i="17"/>
  <c r="J52" i="18" s="1"/>
  <c r="J41" i="17"/>
  <c r="M52" i="18" s="1"/>
  <c r="P52" i="18" s="1"/>
  <c r="K40" i="17"/>
  <c r="N19" i="18" s="1"/>
  <c r="Q19" i="18" s="1"/>
  <c r="L39" i="17"/>
  <c r="O56" i="18" s="1"/>
  <c r="R56" i="18" s="1"/>
  <c r="M38" i="17"/>
  <c r="H55" i="18" s="1"/>
  <c r="N37" i="17"/>
  <c r="J18" i="18" s="1"/>
  <c r="K18" i="18" s="1"/>
  <c r="J37" i="17"/>
  <c r="M18" i="18" s="1"/>
  <c r="P18" i="18" s="1"/>
  <c r="K36" i="17"/>
  <c r="N49" i="18" s="1"/>
  <c r="Q49" i="18" s="1"/>
  <c r="L35" i="17"/>
  <c r="O16" i="18" s="1"/>
  <c r="R16" i="18" s="1"/>
  <c r="M34" i="17"/>
  <c r="H17" i="18" s="1"/>
  <c r="N33" i="17"/>
  <c r="J47" i="18" s="1"/>
  <c r="J33" i="17"/>
  <c r="M47" i="18" s="1"/>
  <c r="P47" i="18" s="1"/>
  <c r="K32" i="17"/>
  <c r="N15" i="18" s="1"/>
  <c r="Q15" i="18" s="1"/>
  <c r="L31" i="17"/>
  <c r="O46" i="18" s="1"/>
  <c r="R46" i="18" s="1"/>
  <c r="M30" i="17"/>
  <c r="H14" i="18" s="1"/>
  <c r="N29" i="17"/>
  <c r="J45" i="18" s="1"/>
  <c r="J29" i="17"/>
  <c r="M45" i="18" s="1"/>
  <c r="P45" i="18" s="1"/>
  <c r="K28" i="17"/>
  <c r="N44" i="18" s="1"/>
  <c r="Q44" i="18" s="1"/>
  <c r="L27" i="17"/>
  <c r="O43" i="18" s="1"/>
  <c r="R43" i="18" s="1"/>
  <c r="M26" i="17"/>
  <c r="H13" i="18" s="1"/>
  <c r="N25" i="17"/>
  <c r="J42" i="18" s="1"/>
  <c r="J25" i="17"/>
  <c r="M42" i="18" s="1"/>
  <c r="P42" i="18" s="1"/>
  <c r="K24" i="17"/>
  <c r="N12" i="18" s="1"/>
  <c r="Q12" i="18" s="1"/>
  <c r="L23" i="17"/>
  <c r="O41" i="18" s="1"/>
  <c r="R41" i="18" s="1"/>
  <c r="M22" i="17"/>
  <c r="H40" i="18" s="1"/>
  <c r="N21" i="17"/>
  <c r="J10" i="18" s="1"/>
  <c r="J21" i="17"/>
  <c r="M10" i="18" s="1"/>
  <c r="P10" i="18" s="1"/>
  <c r="K20" i="17"/>
  <c r="N37" i="18" s="1"/>
  <c r="Q37" i="18" s="1"/>
  <c r="L19" i="17"/>
  <c r="O39" i="18" s="1"/>
  <c r="R39" i="18" s="1"/>
  <c r="M18" i="17"/>
  <c r="H9" i="18" s="1"/>
  <c r="N17" i="17"/>
  <c r="J38" i="18" s="1"/>
  <c r="K38" i="18" s="1"/>
  <c r="J17" i="17"/>
  <c r="M38" i="18" s="1"/>
  <c r="P38" i="18" s="1"/>
  <c r="K16" i="17"/>
  <c r="N48" i="18" s="1"/>
  <c r="Q48" i="18" s="1"/>
  <c r="L15" i="17"/>
  <c r="O32" i="18" s="1"/>
  <c r="R32" i="18" s="1"/>
  <c r="M14" i="17"/>
  <c r="H34" i="18" s="1"/>
  <c r="I34" i="18" s="1"/>
  <c r="N13" i="17"/>
  <c r="J8" i="18" s="1"/>
  <c r="K8" i="18" s="1"/>
  <c r="J13" i="17"/>
  <c r="M8" i="18" s="1"/>
  <c r="P8" i="18" s="1"/>
  <c r="K12" i="17"/>
  <c r="L11" i="17"/>
  <c r="O33" i="18" s="1"/>
  <c r="R33" i="18" s="1"/>
  <c r="M10" i="17"/>
  <c r="H35" i="18" s="1"/>
  <c r="Q9" i="17"/>
  <c r="R9" i="17"/>
  <c r="R70" i="17"/>
  <c r="N66" i="19" s="1"/>
  <c r="Q66" i="19" s="1"/>
  <c r="S69" i="17"/>
  <c r="O65" i="19" s="1"/>
  <c r="R65" i="19" s="1"/>
  <c r="T68" i="17"/>
  <c r="H64" i="19" s="1"/>
  <c r="U67" i="17"/>
  <c r="J63" i="19" s="1"/>
  <c r="Q67" i="17"/>
  <c r="M63" i="19" s="1"/>
  <c r="P63" i="19" s="1"/>
  <c r="R66" i="17"/>
  <c r="N29" i="19" s="1"/>
  <c r="Q29" i="19" s="1"/>
  <c r="S65" i="17"/>
  <c r="O62" i="19" s="1"/>
  <c r="R62" i="19" s="1"/>
  <c r="T64" i="17"/>
  <c r="H28" i="19" s="1"/>
  <c r="U63" i="17"/>
  <c r="J60" i="19" s="1"/>
  <c r="Q63" i="17"/>
  <c r="M60" i="19" s="1"/>
  <c r="P60" i="19" s="1"/>
  <c r="R62" i="17"/>
  <c r="N61" i="19" s="1"/>
  <c r="Q61" i="19" s="1"/>
  <c r="S61" i="17"/>
  <c r="O27" i="19" s="1"/>
  <c r="R27" i="19" s="1"/>
  <c r="T60" i="17"/>
  <c r="H59" i="19" s="1"/>
  <c r="U59" i="17"/>
  <c r="J48" i="19" s="1"/>
  <c r="Q59" i="17"/>
  <c r="M48" i="19" s="1"/>
  <c r="P48" i="19" s="1"/>
  <c r="R58" i="17"/>
  <c r="N9" i="19" s="1"/>
  <c r="Q9" i="19" s="1"/>
  <c r="S57" i="17"/>
  <c r="O26" i="19" s="1"/>
  <c r="R26" i="19" s="1"/>
  <c r="T56" i="17"/>
  <c r="H25" i="19" s="1"/>
  <c r="U55" i="17"/>
  <c r="J24" i="19" s="1"/>
  <c r="Q55" i="17"/>
  <c r="M24" i="19" s="1"/>
  <c r="P24" i="19" s="1"/>
  <c r="R54" i="17"/>
  <c r="N23" i="19" s="1"/>
  <c r="Q23" i="19" s="1"/>
  <c r="S53" i="17"/>
  <c r="O22" i="19" s="1"/>
  <c r="R22" i="19" s="1"/>
  <c r="T52" i="17"/>
  <c r="H21" i="19" s="1"/>
  <c r="U51" i="17"/>
  <c r="J58" i="19" s="1"/>
  <c r="Q51" i="17"/>
  <c r="M58" i="19" s="1"/>
  <c r="P58" i="19" s="1"/>
  <c r="R50" i="17"/>
  <c r="N20" i="19" s="1"/>
  <c r="Q20" i="19" s="1"/>
  <c r="S49" i="17"/>
  <c r="O56" i="19" s="1"/>
  <c r="R56" i="19" s="1"/>
  <c r="T48" i="17"/>
  <c r="H55" i="19" s="1"/>
  <c r="U47" i="17"/>
  <c r="J57" i="19" s="1"/>
  <c r="Q47" i="17"/>
  <c r="M57" i="19" s="1"/>
  <c r="P57" i="19" s="1"/>
  <c r="R46" i="17"/>
  <c r="N18" i="19" s="1"/>
  <c r="Q18" i="19" s="1"/>
  <c r="S45" i="17"/>
  <c r="O19" i="19" s="1"/>
  <c r="R19" i="19" s="1"/>
  <c r="T44" i="17"/>
  <c r="H51" i="19" s="1"/>
  <c r="U43" i="17"/>
  <c r="J52" i="19" s="1"/>
  <c r="Q43" i="17"/>
  <c r="M52" i="19" s="1"/>
  <c r="P52" i="19" s="1"/>
  <c r="R42" i="17"/>
  <c r="N49" i="19" s="1"/>
  <c r="Q49" i="19" s="1"/>
  <c r="S41" i="17"/>
  <c r="O50" i="19" s="1"/>
  <c r="R50" i="19" s="1"/>
  <c r="T40" i="17"/>
  <c r="H17" i="19" s="1"/>
  <c r="U39" i="17"/>
  <c r="J54" i="19" s="1"/>
  <c r="Q39" i="17"/>
  <c r="M54" i="19" s="1"/>
  <c r="P54" i="19" s="1"/>
  <c r="R38" i="17"/>
  <c r="N53" i="19" s="1"/>
  <c r="Q53" i="19" s="1"/>
  <c r="S37" i="17"/>
  <c r="O16" i="19" s="1"/>
  <c r="R16" i="19" s="1"/>
  <c r="T36" i="17"/>
  <c r="H47" i="19" s="1"/>
  <c r="I47" i="19" s="1"/>
  <c r="U35" i="17"/>
  <c r="J14" i="19" s="1"/>
  <c r="Q35" i="17"/>
  <c r="M14" i="19" s="1"/>
  <c r="P14" i="19" s="1"/>
  <c r="R34" i="17"/>
  <c r="N15" i="19" s="1"/>
  <c r="Q15" i="19" s="1"/>
  <c r="S33" i="17"/>
  <c r="O45" i="19" s="1"/>
  <c r="R45" i="19" s="1"/>
  <c r="T32" i="17"/>
  <c r="H13" i="19" s="1"/>
  <c r="U31" i="17"/>
  <c r="J44" i="19" s="1"/>
  <c r="Q31" i="17"/>
  <c r="M44" i="19" s="1"/>
  <c r="P44" i="19" s="1"/>
  <c r="R30" i="17"/>
  <c r="N12" i="19" s="1"/>
  <c r="Q12" i="19" s="1"/>
  <c r="S29" i="17"/>
  <c r="O43" i="19" s="1"/>
  <c r="R43" i="19" s="1"/>
  <c r="T28" i="17"/>
  <c r="H42" i="19" s="1"/>
  <c r="U27" i="17"/>
  <c r="J41" i="19" s="1"/>
  <c r="Q27" i="17"/>
  <c r="M41" i="19" s="1"/>
  <c r="P41" i="19" s="1"/>
  <c r="R26" i="17"/>
  <c r="N11" i="19" s="1"/>
  <c r="Q11" i="19" s="1"/>
  <c r="S25" i="17"/>
  <c r="O40" i="19" s="1"/>
  <c r="R40" i="19" s="1"/>
  <c r="T24" i="17"/>
  <c r="H10" i="19" s="1"/>
  <c r="U23" i="17"/>
  <c r="J39" i="19" s="1"/>
  <c r="Q23" i="17"/>
  <c r="M39" i="19" s="1"/>
  <c r="P39" i="19" s="1"/>
  <c r="R22" i="17"/>
  <c r="N38" i="19" s="1"/>
  <c r="Q38" i="19" s="1"/>
  <c r="S21" i="17"/>
  <c r="O8" i="19" s="1"/>
  <c r="R8" i="19" s="1"/>
  <c r="T20" i="17"/>
  <c r="H35" i="19" s="1"/>
  <c r="U19" i="17"/>
  <c r="J37" i="19" s="1"/>
  <c r="Q19" i="17"/>
  <c r="M37" i="19" s="1"/>
  <c r="P37" i="19" s="1"/>
  <c r="R18" i="17"/>
  <c r="N7" i="19" s="1"/>
  <c r="Q7" i="19" s="1"/>
  <c r="S17" i="17"/>
  <c r="O36" i="19" s="1"/>
  <c r="R36" i="19" s="1"/>
  <c r="T16" i="17"/>
  <c r="H46" i="19" s="1"/>
  <c r="U15" i="17"/>
  <c r="J30" i="19" s="1"/>
  <c r="Q15" i="17"/>
  <c r="M30" i="19" s="1"/>
  <c r="P30" i="19" s="1"/>
  <c r="R14" i="17"/>
  <c r="N32" i="19" s="1"/>
  <c r="Q32" i="19" s="1"/>
  <c r="S13" i="17"/>
  <c r="O6" i="19" s="1"/>
  <c r="R6" i="19" s="1"/>
  <c r="T12" i="17"/>
  <c r="H34" i="19" s="1"/>
  <c r="U11" i="17"/>
  <c r="J31" i="19" s="1"/>
  <c r="Q11" i="17"/>
  <c r="M31" i="19" s="1"/>
  <c r="P31" i="19" s="1"/>
  <c r="R10" i="17"/>
  <c r="N33" i="19" s="1"/>
  <c r="Q33" i="19" s="1"/>
  <c r="AC9" i="17"/>
  <c r="M5" i="20" s="1"/>
  <c r="L9" i="17"/>
  <c r="L70" i="17"/>
  <c r="O68" i="18" s="1"/>
  <c r="R68" i="18" s="1"/>
  <c r="M69" i="17"/>
  <c r="H67" i="18" s="1"/>
  <c r="N68" i="17"/>
  <c r="J66" i="18" s="1"/>
  <c r="J68" i="17"/>
  <c r="M66" i="18" s="1"/>
  <c r="P66" i="18" s="1"/>
  <c r="K67" i="17"/>
  <c r="N65" i="18" s="1"/>
  <c r="Q65" i="18" s="1"/>
  <c r="L66" i="17"/>
  <c r="M65" i="17"/>
  <c r="H64" i="18" s="1"/>
  <c r="N64" i="17"/>
  <c r="J30" i="18" s="1"/>
  <c r="J64" i="17"/>
  <c r="M30" i="18" s="1"/>
  <c r="P30" i="18" s="1"/>
  <c r="K63" i="17"/>
  <c r="N62" i="18" s="1"/>
  <c r="Q62" i="18" s="1"/>
  <c r="L62" i="17"/>
  <c r="O63" i="18" s="1"/>
  <c r="R63" i="18" s="1"/>
  <c r="M61" i="17"/>
  <c r="H29" i="18" s="1"/>
  <c r="I29" i="18" s="1"/>
  <c r="N60" i="17"/>
  <c r="J61" i="18" s="1"/>
  <c r="J60" i="17"/>
  <c r="M61" i="18" s="1"/>
  <c r="P61" i="18" s="1"/>
  <c r="K59" i="17"/>
  <c r="N50" i="18" s="1"/>
  <c r="Q50" i="18" s="1"/>
  <c r="L58" i="17"/>
  <c r="O11" i="18" s="1"/>
  <c r="R11" i="18" s="1"/>
  <c r="M57" i="17"/>
  <c r="H28" i="18" s="1"/>
  <c r="N56" i="17"/>
  <c r="J27" i="18" s="1"/>
  <c r="J56" i="17"/>
  <c r="M27" i="18" s="1"/>
  <c r="P27" i="18" s="1"/>
  <c r="K55" i="17"/>
  <c r="N26" i="18" s="1"/>
  <c r="Q26" i="18" s="1"/>
  <c r="L54" i="17"/>
  <c r="O25" i="18" s="1"/>
  <c r="R25" i="18" s="1"/>
  <c r="M53" i="17"/>
  <c r="H24" i="18" s="1"/>
  <c r="N52" i="17"/>
  <c r="J23" i="18" s="1"/>
  <c r="J52" i="17"/>
  <c r="M23" i="18" s="1"/>
  <c r="P23" i="18" s="1"/>
  <c r="K51" i="17"/>
  <c r="N60" i="18" s="1"/>
  <c r="Q60" i="18" s="1"/>
  <c r="L50" i="17"/>
  <c r="O22" i="18" s="1"/>
  <c r="R22" i="18" s="1"/>
  <c r="M49" i="17"/>
  <c r="H58" i="18" s="1"/>
  <c r="N48" i="17"/>
  <c r="J57" i="18" s="1"/>
  <c r="K57" i="18" s="1"/>
  <c r="J48" i="17"/>
  <c r="M57" i="18" s="1"/>
  <c r="P57" i="18" s="1"/>
  <c r="K47" i="17"/>
  <c r="N59" i="18" s="1"/>
  <c r="Q59" i="18" s="1"/>
  <c r="L46" i="17"/>
  <c r="O20" i="18" s="1"/>
  <c r="R20" i="18" s="1"/>
  <c r="M45" i="17"/>
  <c r="H21" i="18" s="1"/>
  <c r="N44" i="17"/>
  <c r="J53" i="18" s="1"/>
  <c r="J44" i="17"/>
  <c r="M53" i="18" s="1"/>
  <c r="P53" i="18" s="1"/>
  <c r="K43" i="17"/>
  <c r="N54" i="18" s="1"/>
  <c r="Q54" i="18" s="1"/>
  <c r="L42" i="17"/>
  <c r="O51" i="18" s="1"/>
  <c r="R51" i="18" s="1"/>
  <c r="M41" i="17"/>
  <c r="H52" i="18" s="1"/>
  <c r="N40" i="17"/>
  <c r="J19" i="18" s="1"/>
  <c r="K19" i="18" s="1"/>
  <c r="J40" i="17"/>
  <c r="M19" i="18" s="1"/>
  <c r="P19" i="18" s="1"/>
  <c r="K39" i="17"/>
  <c r="N56" i="18" s="1"/>
  <c r="Q56" i="18" s="1"/>
  <c r="L38" i="17"/>
  <c r="O55" i="18" s="1"/>
  <c r="R55" i="18" s="1"/>
  <c r="M37" i="17"/>
  <c r="H18" i="18" s="1"/>
  <c r="I18" i="18" s="1"/>
  <c r="N36" i="17"/>
  <c r="J49" i="18" s="1"/>
  <c r="K49" i="18" s="1"/>
  <c r="J36" i="17"/>
  <c r="M49" i="18" s="1"/>
  <c r="P49" i="18" s="1"/>
  <c r="K35" i="17"/>
  <c r="N16" i="18" s="1"/>
  <c r="Q16" i="18" s="1"/>
  <c r="L34" i="17"/>
  <c r="O17" i="18" s="1"/>
  <c r="R17" i="18" s="1"/>
  <c r="M33" i="17"/>
  <c r="H47" i="18" s="1"/>
  <c r="N32" i="17"/>
  <c r="J15" i="18" s="1"/>
  <c r="J32" i="17"/>
  <c r="M15" i="18" s="1"/>
  <c r="P15" i="18" s="1"/>
  <c r="K31" i="17"/>
  <c r="N46" i="18" s="1"/>
  <c r="Q46" i="18" s="1"/>
  <c r="L30" i="17"/>
  <c r="O14" i="18" s="1"/>
  <c r="R14" i="18" s="1"/>
  <c r="M29" i="17"/>
  <c r="H45" i="18" s="1"/>
  <c r="N28" i="17"/>
  <c r="J44" i="18" s="1"/>
  <c r="K44" i="18" s="1"/>
  <c r="J28" i="17"/>
  <c r="M44" i="18" s="1"/>
  <c r="P44" i="18" s="1"/>
  <c r="K27" i="17"/>
  <c r="N43" i="18" s="1"/>
  <c r="Q43" i="18" s="1"/>
  <c r="L26" i="17"/>
  <c r="M25" i="17"/>
  <c r="H42" i="18" s="1"/>
  <c r="N24" i="17"/>
  <c r="J12" i="18" s="1"/>
  <c r="J24" i="17"/>
  <c r="M12" i="18" s="1"/>
  <c r="P12" i="18" s="1"/>
  <c r="K23" i="17"/>
  <c r="N41" i="18" s="1"/>
  <c r="Q41" i="18" s="1"/>
  <c r="L22" i="17"/>
  <c r="O40" i="18" s="1"/>
  <c r="R40" i="18" s="1"/>
  <c r="M21" i="17"/>
  <c r="H10" i="18" s="1"/>
  <c r="N20" i="17"/>
  <c r="J37" i="18" s="1"/>
  <c r="J20" i="17"/>
  <c r="M37" i="18" s="1"/>
  <c r="P37" i="18" s="1"/>
  <c r="K19" i="17"/>
  <c r="N39" i="18" s="1"/>
  <c r="Q39" i="18" s="1"/>
  <c r="L18" i="17"/>
  <c r="O9" i="18" s="1"/>
  <c r="R9" i="18" s="1"/>
  <c r="M17" i="17"/>
  <c r="H38" i="18" s="1"/>
  <c r="I38" i="18" s="1"/>
  <c r="N16" i="17"/>
  <c r="J48" i="18" s="1"/>
  <c r="J16" i="17"/>
  <c r="M48" i="18" s="1"/>
  <c r="P48" i="18" s="1"/>
  <c r="K15" i="17"/>
  <c r="L14" i="17"/>
  <c r="O34" i="18" s="1"/>
  <c r="R34" i="18" s="1"/>
  <c r="M13" i="17"/>
  <c r="H8" i="18" s="1"/>
  <c r="I8" i="18" s="1"/>
  <c r="N12" i="17"/>
  <c r="J36" i="18" s="1"/>
  <c r="J12" i="17"/>
  <c r="M36" i="18" s="1"/>
  <c r="P36" i="18" s="1"/>
  <c r="K11" i="17"/>
  <c r="N33" i="18" s="1"/>
  <c r="Q33" i="18" s="1"/>
  <c r="L10" i="17"/>
  <c r="O35" i="18" s="1"/>
  <c r="R35" i="18" s="1"/>
  <c r="U9" i="17"/>
  <c r="U70" i="17"/>
  <c r="J66" i="19" s="1"/>
  <c r="Q70" i="17"/>
  <c r="M66" i="19" s="1"/>
  <c r="P66" i="19" s="1"/>
  <c r="R69" i="17"/>
  <c r="N65" i="19" s="1"/>
  <c r="Q65" i="19" s="1"/>
  <c r="S68" i="17"/>
  <c r="O64" i="19" s="1"/>
  <c r="R64" i="19" s="1"/>
  <c r="T67" i="17"/>
  <c r="H63" i="19" s="1"/>
  <c r="U66" i="17"/>
  <c r="J29" i="19" s="1"/>
  <c r="Q66" i="17"/>
  <c r="M29" i="19" s="1"/>
  <c r="P29" i="19" s="1"/>
  <c r="R65" i="17"/>
  <c r="N62" i="19" s="1"/>
  <c r="Q62" i="19" s="1"/>
  <c r="S64" i="17"/>
  <c r="O28" i="19" s="1"/>
  <c r="R28" i="19" s="1"/>
  <c r="T63" i="17"/>
  <c r="H60" i="19" s="1"/>
  <c r="U62" i="17"/>
  <c r="J61" i="19" s="1"/>
  <c r="Q62" i="17"/>
  <c r="M61" i="19" s="1"/>
  <c r="P61" i="19" s="1"/>
  <c r="R61" i="17"/>
  <c r="N27" i="19" s="1"/>
  <c r="Q27" i="19" s="1"/>
  <c r="S60" i="17"/>
  <c r="O59" i="19" s="1"/>
  <c r="R59" i="19" s="1"/>
  <c r="T59" i="17"/>
  <c r="H48" i="19" s="1"/>
  <c r="U58" i="17"/>
  <c r="J9" i="19" s="1"/>
  <c r="Q58" i="17"/>
  <c r="M9" i="19" s="1"/>
  <c r="P9" i="19" s="1"/>
  <c r="R57" i="17"/>
  <c r="N26" i="19" s="1"/>
  <c r="Q26" i="19" s="1"/>
  <c r="S56" i="17"/>
  <c r="O25" i="19" s="1"/>
  <c r="R25" i="19" s="1"/>
  <c r="T55" i="17"/>
  <c r="H24" i="19" s="1"/>
  <c r="U54" i="17"/>
  <c r="J23" i="19" s="1"/>
  <c r="Q54" i="17"/>
  <c r="M23" i="19" s="1"/>
  <c r="P23" i="19" s="1"/>
  <c r="R53" i="17"/>
  <c r="N22" i="19" s="1"/>
  <c r="Q22" i="19" s="1"/>
  <c r="S52" i="17"/>
  <c r="O21" i="19" s="1"/>
  <c r="R21" i="19" s="1"/>
  <c r="T51" i="17"/>
  <c r="H58" i="19" s="1"/>
  <c r="U50" i="17"/>
  <c r="J20" i="19" s="1"/>
  <c r="Q50" i="17"/>
  <c r="M20" i="19" s="1"/>
  <c r="P20" i="19" s="1"/>
  <c r="R49" i="17"/>
  <c r="N56" i="19" s="1"/>
  <c r="Q56" i="19" s="1"/>
  <c r="S48" i="17"/>
  <c r="O55" i="19" s="1"/>
  <c r="R55" i="19" s="1"/>
  <c r="T47" i="17"/>
  <c r="H57" i="19" s="1"/>
  <c r="U46" i="17"/>
  <c r="J18" i="19" s="1"/>
  <c r="Q46" i="17"/>
  <c r="M18" i="19" s="1"/>
  <c r="P18" i="19" s="1"/>
  <c r="R45" i="17"/>
  <c r="N19" i="19" s="1"/>
  <c r="Q19" i="19" s="1"/>
  <c r="S44" i="17"/>
  <c r="O51" i="19" s="1"/>
  <c r="R51" i="19" s="1"/>
  <c r="T43" i="17"/>
  <c r="H52" i="19" s="1"/>
  <c r="U42" i="17"/>
  <c r="J49" i="19" s="1"/>
  <c r="Q42" i="17"/>
  <c r="M49" i="19" s="1"/>
  <c r="P49" i="19" s="1"/>
  <c r="R41" i="17"/>
  <c r="N50" i="19" s="1"/>
  <c r="Q50" i="19" s="1"/>
  <c r="S40" i="17"/>
  <c r="O17" i="19" s="1"/>
  <c r="R17" i="19" s="1"/>
  <c r="T39" i="17"/>
  <c r="H54" i="19" s="1"/>
  <c r="U38" i="17"/>
  <c r="J53" i="19" s="1"/>
  <c r="Q38" i="17"/>
  <c r="M53" i="19" s="1"/>
  <c r="P53" i="19" s="1"/>
  <c r="R37" i="17"/>
  <c r="N16" i="19" s="1"/>
  <c r="Q16" i="19" s="1"/>
  <c r="S36" i="17"/>
  <c r="O47" i="19" s="1"/>
  <c r="R47" i="19" s="1"/>
  <c r="T35" i="17"/>
  <c r="H14" i="19" s="1"/>
  <c r="U34" i="17"/>
  <c r="J15" i="19" s="1"/>
  <c r="Q34" i="17"/>
  <c r="M15" i="19" s="1"/>
  <c r="P15" i="19" s="1"/>
  <c r="R33" i="17"/>
  <c r="N45" i="19" s="1"/>
  <c r="Q45" i="19" s="1"/>
  <c r="S32" i="17"/>
  <c r="O13" i="19" s="1"/>
  <c r="R13" i="19" s="1"/>
  <c r="T31" i="17"/>
  <c r="H44" i="19" s="1"/>
  <c r="U30" i="17"/>
  <c r="J12" i="19" s="1"/>
  <c r="Q30" i="17"/>
  <c r="M12" i="19" s="1"/>
  <c r="P12" i="19" s="1"/>
  <c r="R29" i="17"/>
  <c r="N43" i="19" s="1"/>
  <c r="Q43" i="19" s="1"/>
  <c r="S28" i="17"/>
  <c r="O42" i="19" s="1"/>
  <c r="R42" i="19" s="1"/>
  <c r="T27" i="17"/>
  <c r="H41" i="19" s="1"/>
  <c r="U26" i="17"/>
  <c r="J11" i="19" s="1"/>
  <c r="Q26" i="17"/>
  <c r="M11" i="19" s="1"/>
  <c r="P11" i="19" s="1"/>
  <c r="R25" i="17"/>
  <c r="N40" i="19" s="1"/>
  <c r="Q40" i="19" s="1"/>
  <c r="S24" i="17"/>
  <c r="O10" i="19" s="1"/>
  <c r="R10" i="19" s="1"/>
  <c r="T23" i="17"/>
  <c r="H39" i="19" s="1"/>
  <c r="U22" i="17"/>
  <c r="J38" i="19" s="1"/>
  <c r="Q22" i="17"/>
  <c r="M38" i="19" s="1"/>
  <c r="P38" i="19" s="1"/>
  <c r="R21" i="17"/>
  <c r="N8" i="19" s="1"/>
  <c r="Q8" i="19" s="1"/>
  <c r="S20" i="17"/>
  <c r="O35" i="19" s="1"/>
  <c r="R35" i="19" s="1"/>
  <c r="T19" i="17"/>
  <c r="H37" i="19" s="1"/>
  <c r="U18" i="17"/>
  <c r="J7" i="19" s="1"/>
  <c r="Q18" i="17"/>
  <c r="M7" i="19" s="1"/>
  <c r="P7" i="19" s="1"/>
  <c r="R17" i="17"/>
  <c r="N36" i="19" s="1"/>
  <c r="Q36" i="19" s="1"/>
  <c r="S16" i="17"/>
  <c r="O46" i="19" s="1"/>
  <c r="R46" i="19" s="1"/>
  <c r="T15" i="17"/>
  <c r="H30" i="19" s="1"/>
  <c r="U14" i="17"/>
  <c r="J32" i="19" s="1"/>
  <c r="Q14" i="17"/>
  <c r="M32" i="19" s="1"/>
  <c r="P32" i="19" s="1"/>
  <c r="R13" i="17"/>
  <c r="N6" i="19" s="1"/>
  <c r="Q6" i="19" s="1"/>
  <c r="S12" i="17"/>
  <c r="O34" i="19" s="1"/>
  <c r="R34" i="19" s="1"/>
  <c r="T11" i="17"/>
  <c r="H31" i="19" s="1"/>
  <c r="U10" i="17"/>
  <c r="J33" i="19" s="1"/>
  <c r="Q10" i="17"/>
  <c r="M33" i="19" s="1"/>
  <c r="P33" i="19" s="1"/>
  <c r="BI10" i="17"/>
  <c r="BH10" i="17" s="1"/>
  <c r="BI14" i="17"/>
  <c r="BH14" i="17" s="1"/>
  <c r="BI18" i="17"/>
  <c r="BH18" i="17" s="1"/>
  <c r="BI22" i="17"/>
  <c r="BH22" i="17" s="1"/>
  <c r="BI26" i="17"/>
  <c r="BH26" i="17" s="1"/>
  <c r="BI30" i="17"/>
  <c r="BH30" i="17" s="1"/>
  <c r="BI34" i="17"/>
  <c r="BH34" i="17" s="1"/>
  <c r="BI38" i="17"/>
  <c r="BH38" i="17" s="1"/>
  <c r="BI42" i="17"/>
  <c r="BH42" i="17" s="1"/>
  <c r="BI46" i="17"/>
  <c r="BH46" i="17" s="1"/>
  <c r="BI50" i="17"/>
  <c r="BH50" i="17" s="1"/>
  <c r="BI54" i="17"/>
  <c r="BH54" i="17" s="1"/>
  <c r="BI58" i="17"/>
  <c r="BH58" i="17" s="1"/>
  <c r="BI62" i="17"/>
  <c r="BH62" i="17" s="1"/>
  <c r="BI66" i="17"/>
  <c r="BH66" i="17" s="1"/>
  <c r="BI70" i="17"/>
  <c r="BH70" i="17" s="1"/>
  <c r="BE11" i="17"/>
  <c r="BE13" i="17"/>
  <c r="BE15" i="17"/>
  <c r="BE17" i="17"/>
  <c r="BE19" i="17"/>
  <c r="BE21" i="17"/>
  <c r="BE23" i="17"/>
  <c r="BE25" i="17"/>
  <c r="BE27" i="17"/>
  <c r="BE29" i="17"/>
  <c r="BE31" i="17"/>
  <c r="BE33" i="17"/>
  <c r="BE35" i="17"/>
  <c r="BE37" i="17"/>
  <c r="BE39" i="17"/>
  <c r="BE41" i="17"/>
  <c r="BE43" i="17"/>
  <c r="BE45" i="17"/>
  <c r="BE47" i="17"/>
  <c r="BE49" i="17"/>
  <c r="BE51" i="17"/>
  <c r="BE53" i="17"/>
  <c r="BE55" i="17"/>
  <c r="BE57" i="17"/>
  <c r="BE59" i="17"/>
  <c r="BE61" i="17"/>
  <c r="BE63" i="17"/>
  <c r="BE65" i="17"/>
  <c r="BE67" i="17"/>
  <c r="BE69" i="17"/>
  <c r="BF9" i="17"/>
  <c r="AY10" i="17"/>
  <c r="AW11" i="17"/>
  <c r="BA11" i="17"/>
  <c r="AY12" i="17"/>
  <c r="AW13" i="17"/>
  <c r="BA13" i="17"/>
  <c r="AY14" i="17"/>
  <c r="AW15" i="17"/>
  <c r="BA15" i="17"/>
  <c r="AY16" i="17"/>
  <c r="AW17" i="17"/>
  <c r="BA17" i="17"/>
  <c r="AY18" i="17"/>
  <c r="AW19" i="17"/>
  <c r="BA19" i="17"/>
  <c r="AY20" i="17"/>
  <c r="AW21" i="17"/>
  <c r="BA21" i="17"/>
  <c r="AY22" i="17"/>
  <c r="AW23" i="17"/>
  <c r="BA23" i="17"/>
  <c r="AY24" i="17"/>
  <c r="AW25" i="17"/>
  <c r="BA25" i="17"/>
  <c r="AY26" i="17"/>
  <c r="AW27" i="17"/>
  <c r="BA27" i="17"/>
  <c r="AY28" i="17"/>
  <c r="AW29" i="17"/>
  <c r="BA29" i="17"/>
  <c r="AY30" i="17"/>
  <c r="AW31" i="17"/>
  <c r="BA31" i="17"/>
  <c r="AY32" i="17"/>
  <c r="AW33" i="17"/>
  <c r="BA33" i="17"/>
  <c r="AY34" i="17"/>
  <c r="AW35" i="17"/>
  <c r="BI11" i="17"/>
  <c r="BH11" i="17" s="1"/>
  <c r="BI15" i="17"/>
  <c r="BH15" i="17" s="1"/>
  <c r="BI19" i="17"/>
  <c r="BH19" i="17" s="1"/>
  <c r="BI23" i="17"/>
  <c r="BH23" i="17" s="1"/>
  <c r="BI27" i="17"/>
  <c r="BH27" i="17" s="1"/>
  <c r="BI31" i="17"/>
  <c r="BH31" i="17" s="1"/>
  <c r="BI35" i="17"/>
  <c r="BH35" i="17" s="1"/>
  <c r="BI39" i="17"/>
  <c r="BH39" i="17" s="1"/>
  <c r="BI43" i="17"/>
  <c r="BH43" i="17" s="1"/>
  <c r="BI47" i="17"/>
  <c r="BH47" i="17" s="1"/>
  <c r="BI51" i="17"/>
  <c r="BH51" i="17" s="1"/>
  <c r="BI55" i="17"/>
  <c r="BH55" i="17" s="1"/>
  <c r="BI59" i="17"/>
  <c r="BH59" i="17" s="1"/>
  <c r="BI63" i="17"/>
  <c r="BH63" i="17" s="1"/>
  <c r="BI67" i="17"/>
  <c r="BH67" i="17" s="1"/>
  <c r="BI9" i="17"/>
  <c r="BF11" i="17"/>
  <c r="BF13" i="17"/>
  <c r="BF15" i="17"/>
  <c r="BF17" i="17"/>
  <c r="BF19" i="17"/>
  <c r="BF21" i="17"/>
  <c r="BF23" i="17"/>
  <c r="BF25" i="17"/>
  <c r="BF27" i="17"/>
  <c r="BF29" i="17"/>
  <c r="BF31" i="17"/>
  <c r="BF33" i="17"/>
  <c r="BF35" i="17"/>
  <c r="BF37" i="17"/>
  <c r="BF39" i="17"/>
  <c r="BF41" i="17"/>
  <c r="BF43" i="17"/>
  <c r="BF45" i="17"/>
  <c r="BF47" i="17"/>
  <c r="BF49" i="17"/>
  <c r="BF51" i="17"/>
  <c r="BF53" i="17"/>
  <c r="BF55" i="17"/>
  <c r="BF57" i="17"/>
  <c r="BF59" i="17"/>
  <c r="BI12" i="17"/>
  <c r="BH12" i="17" s="1"/>
  <c r="BI16" i="17"/>
  <c r="BH16" i="17" s="1"/>
  <c r="BI20" i="17"/>
  <c r="BH20" i="17" s="1"/>
  <c r="BI24" i="17"/>
  <c r="BH24" i="17" s="1"/>
  <c r="BI28" i="17"/>
  <c r="BH28" i="17" s="1"/>
  <c r="BI32" i="17"/>
  <c r="BH32" i="17" s="1"/>
  <c r="BI36" i="17"/>
  <c r="BH36" i="17" s="1"/>
  <c r="BI40" i="17"/>
  <c r="BH40" i="17" s="1"/>
  <c r="BI44" i="17"/>
  <c r="BH44" i="17" s="1"/>
  <c r="BI48" i="17"/>
  <c r="BH48" i="17" s="1"/>
  <c r="BI52" i="17"/>
  <c r="BH52" i="17" s="1"/>
  <c r="BI56" i="17"/>
  <c r="BH56" i="17" s="1"/>
  <c r="BI60" i="17"/>
  <c r="BH60" i="17" s="1"/>
  <c r="BI64" i="17"/>
  <c r="BH64" i="17" s="1"/>
  <c r="BI68" i="17"/>
  <c r="BH68" i="17" s="1"/>
  <c r="BE10" i="17"/>
  <c r="BE12" i="17"/>
  <c r="BE14" i="17"/>
  <c r="BE16" i="17"/>
  <c r="BE18" i="17"/>
  <c r="BE20" i="17"/>
  <c r="BE22" i="17"/>
  <c r="BE24" i="17"/>
  <c r="BE26" i="17"/>
  <c r="BE28" i="17"/>
  <c r="BE30" i="17"/>
  <c r="BE32" i="17"/>
  <c r="BE34" i="17"/>
  <c r="BE36" i="17"/>
  <c r="BE38" i="17"/>
  <c r="BE40" i="17"/>
  <c r="BE42" i="17"/>
  <c r="BE44" i="17"/>
  <c r="BE46" i="17"/>
  <c r="BE48" i="17"/>
  <c r="BE50" i="17"/>
  <c r="BE52" i="17"/>
  <c r="BE54" i="17"/>
  <c r="BE56" i="17"/>
  <c r="BE58" i="17"/>
  <c r="BI13" i="17"/>
  <c r="BH13" i="17" s="1"/>
  <c r="BI17" i="17"/>
  <c r="BH17" i="17" s="1"/>
  <c r="BI21" i="17"/>
  <c r="BH21" i="17" s="1"/>
  <c r="BI25" i="17"/>
  <c r="BH25" i="17" s="1"/>
  <c r="BI29" i="17"/>
  <c r="BH29" i="17" s="1"/>
  <c r="BI33" i="17"/>
  <c r="BH33" i="17" s="1"/>
  <c r="BI37" i="17"/>
  <c r="BH37" i="17" s="1"/>
  <c r="BI41" i="17"/>
  <c r="BH41" i="17" s="1"/>
  <c r="BI45" i="17"/>
  <c r="BH45" i="17" s="1"/>
  <c r="BI49" i="17"/>
  <c r="BH49" i="17" s="1"/>
  <c r="BI53" i="17"/>
  <c r="BH53" i="17" s="1"/>
  <c r="BI57" i="17"/>
  <c r="BH57" i="17" s="1"/>
  <c r="BI61" i="17"/>
  <c r="BH61" i="17" s="1"/>
  <c r="BI65" i="17"/>
  <c r="BH65" i="17" s="1"/>
  <c r="BI69" i="17"/>
  <c r="BH69" i="17" s="1"/>
  <c r="BF10" i="17"/>
  <c r="BF12" i="17"/>
  <c r="BF14" i="17"/>
  <c r="BF16" i="17"/>
  <c r="BF18" i="17"/>
  <c r="BF20" i="17"/>
  <c r="BF22" i="17"/>
  <c r="BF24" i="17"/>
  <c r="BF26" i="17"/>
  <c r="BF28" i="17"/>
  <c r="BF30" i="17"/>
  <c r="BF32" i="17"/>
  <c r="BF34" i="17"/>
  <c r="BF36" i="17"/>
  <c r="BF38" i="17"/>
  <c r="BF40" i="17"/>
  <c r="BF42" i="17"/>
  <c r="BF44" i="17"/>
  <c r="BF46" i="17"/>
  <c r="BF48" i="17"/>
  <c r="BF50" i="17"/>
  <c r="BF52" i="17"/>
  <c r="BF54" i="17"/>
  <c r="BF56" i="17"/>
  <c r="BF58" i="17"/>
  <c r="BF60" i="17"/>
  <c r="BF62" i="17"/>
  <c r="BF64" i="17"/>
  <c r="BF66" i="17"/>
  <c r="BF68" i="17"/>
  <c r="BF70" i="17"/>
  <c r="AX10" i="17"/>
  <c r="BB10" i="17"/>
  <c r="AZ11" i="17"/>
  <c r="AX12" i="17"/>
  <c r="BB12" i="17"/>
  <c r="AZ13" i="17"/>
  <c r="AX14" i="17"/>
  <c r="BB14" i="17"/>
  <c r="AZ15" i="17"/>
  <c r="AX16" i="17"/>
  <c r="BB16" i="17"/>
  <c r="AZ17" i="17"/>
  <c r="AX18" i="17"/>
  <c r="BB18" i="17"/>
  <c r="AZ19" i="17"/>
  <c r="AX20" i="17"/>
  <c r="BB20" i="17"/>
  <c r="AZ21" i="17"/>
  <c r="AX22" i="17"/>
  <c r="BB22" i="17"/>
  <c r="AZ23" i="17"/>
  <c r="AX24" i="17"/>
  <c r="BB24" i="17"/>
  <c r="AZ25" i="17"/>
  <c r="AX26" i="17"/>
  <c r="BB26" i="17"/>
  <c r="AZ27" i="17"/>
  <c r="AX28" i="17"/>
  <c r="BB28" i="17"/>
  <c r="AZ29" i="17"/>
  <c r="AX30" i="17"/>
  <c r="BB30" i="17"/>
  <c r="AZ31" i="17"/>
  <c r="AX32" i="17"/>
  <c r="BB32" i="17"/>
  <c r="AZ33" i="17"/>
  <c r="AX34" i="17"/>
  <c r="BB34" i="17"/>
  <c r="BE62" i="17"/>
  <c r="BE66" i="17"/>
  <c r="BE70" i="17"/>
  <c r="BA10" i="17"/>
  <c r="AW12" i="17"/>
  <c r="AY13" i="17"/>
  <c r="BA14" i="17"/>
  <c r="AW16" i="17"/>
  <c r="AY17" i="17"/>
  <c r="BA18" i="17"/>
  <c r="AW20" i="17"/>
  <c r="AY21" i="17"/>
  <c r="BA22" i="17"/>
  <c r="AW24" i="17"/>
  <c r="AY25" i="17"/>
  <c r="BA26" i="17"/>
  <c r="AW28" i="17"/>
  <c r="AY29" i="17"/>
  <c r="BA30" i="17"/>
  <c r="AW32" i="17"/>
  <c r="AY33" i="17"/>
  <c r="BA34" i="17"/>
  <c r="BA35" i="17"/>
  <c r="AY36" i="17"/>
  <c r="AW37" i="17"/>
  <c r="BA37" i="17"/>
  <c r="AY38" i="17"/>
  <c r="AW39" i="17"/>
  <c r="BA39" i="17"/>
  <c r="AY40" i="17"/>
  <c r="AW41" i="17"/>
  <c r="BA41" i="17"/>
  <c r="AY42" i="17"/>
  <c r="AW43" i="17"/>
  <c r="BA43" i="17"/>
  <c r="AY44" i="17"/>
  <c r="AW45" i="17"/>
  <c r="BA45" i="17"/>
  <c r="AY46" i="17"/>
  <c r="AW47" i="17"/>
  <c r="BA47" i="17"/>
  <c r="AY48" i="17"/>
  <c r="AW49" i="17"/>
  <c r="BA49" i="17"/>
  <c r="AY50" i="17"/>
  <c r="AW51" i="17"/>
  <c r="BA51" i="17"/>
  <c r="AY52" i="17"/>
  <c r="AW53" i="17"/>
  <c r="BA53" i="17"/>
  <c r="AY54" i="17"/>
  <c r="AW55" i="17"/>
  <c r="BA55" i="17"/>
  <c r="AY56" i="17"/>
  <c r="AW57" i="17"/>
  <c r="BA57" i="17"/>
  <c r="AY58" i="17"/>
  <c r="AW59" i="17"/>
  <c r="BA59" i="17"/>
  <c r="AY60" i="17"/>
  <c r="AW61" i="17"/>
  <c r="BA61" i="17"/>
  <c r="AY62" i="17"/>
  <c r="AW63" i="17"/>
  <c r="BA63" i="17"/>
  <c r="AY64" i="17"/>
  <c r="AW65" i="17"/>
  <c r="BA65" i="17"/>
  <c r="AY66" i="17"/>
  <c r="AW67" i="17"/>
  <c r="BA67" i="17"/>
  <c r="AY68" i="17"/>
  <c r="AW69" i="17"/>
  <c r="BA69" i="17"/>
  <c r="AY70" i="17"/>
  <c r="AX9" i="17"/>
  <c r="BB9" i="17"/>
  <c r="AQ10" i="17"/>
  <c r="Q33" i="21" s="1"/>
  <c r="T33" i="21" s="1"/>
  <c r="AO11" i="17"/>
  <c r="O31" i="21" s="1"/>
  <c r="R31" i="21" s="1"/>
  <c r="AS11" i="17"/>
  <c r="J31" i="21" s="1"/>
  <c r="AQ12" i="17"/>
  <c r="Q34" i="21" s="1"/>
  <c r="T34" i="21" s="1"/>
  <c r="AO13" i="17"/>
  <c r="O6" i="21" s="1"/>
  <c r="R6" i="21" s="1"/>
  <c r="AS13" i="17"/>
  <c r="J6" i="21" s="1"/>
  <c r="AQ14" i="17"/>
  <c r="Q32" i="21" s="1"/>
  <c r="T32" i="21" s="1"/>
  <c r="AO15" i="17"/>
  <c r="O30" i="21" s="1"/>
  <c r="R30" i="21" s="1"/>
  <c r="BF63" i="17"/>
  <c r="BF67" i="17"/>
  <c r="BE9" i="17"/>
  <c r="AX11" i="17"/>
  <c r="AZ12" i="17"/>
  <c r="BB13" i="17"/>
  <c r="AX15" i="17"/>
  <c r="AZ16" i="17"/>
  <c r="BB17" i="17"/>
  <c r="AX19" i="17"/>
  <c r="AZ20" i="17"/>
  <c r="BB21" i="17"/>
  <c r="AX23" i="17"/>
  <c r="AZ24" i="17"/>
  <c r="BB25" i="17"/>
  <c r="AX27" i="17"/>
  <c r="AZ28" i="17"/>
  <c r="BB29" i="17"/>
  <c r="AX31" i="17"/>
  <c r="AZ32" i="17"/>
  <c r="BB33" i="17"/>
  <c r="AX35" i="17"/>
  <c r="BB35" i="17"/>
  <c r="AZ36" i="17"/>
  <c r="AX37" i="17"/>
  <c r="BB37" i="17"/>
  <c r="AZ38" i="17"/>
  <c r="AX39" i="17"/>
  <c r="BB39" i="17"/>
  <c r="AZ40" i="17"/>
  <c r="AX41" i="17"/>
  <c r="BB41" i="17"/>
  <c r="AZ42" i="17"/>
  <c r="AX43" i="17"/>
  <c r="BB43" i="17"/>
  <c r="AZ44" i="17"/>
  <c r="AX45" i="17"/>
  <c r="BB45" i="17"/>
  <c r="AZ46" i="17"/>
  <c r="AX47" i="17"/>
  <c r="BB47" i="17"/>
  <c r="AZ48" i="17"/>
  <c r="AX49" i="17"/>
  <c r="BB49" i="17"/>
  <c r="AZ50" i="17"/>
  <c r="AX51" i="17"/>
  <c r="BB51" i="17"/>
  <c r="AZ52" i="17"/>
  <c r="AX53" i="17"/>
  <c r="BB53" i="17"/>
  <c r="AZ54" i="17"/>
  <c r="AX55" i="17"/>
  <c r="BB55" i="17"/>
  <c r="AZ56" i="17"/>
  <c r="AX57" i="17"/>
  <c r="BB57" i="17"/>
  <c r="AZ58" i="17"/>
  <c r="AX59" i="17"/>
  <c r="BB59" i="17"/>
  <c r="AZ60" i="17"/>
  <c r="AX61" i="17"/>
  <c r="BB61" i="17"/>
  <c r="AZ62" i="17"/>
  <c r="AX63" i="17"/>
  <c r="BB63" i="17"/>
  <c r="AZ64" i="17"/>
  <c r="AX65" i="17"/>
  <c r="BB65" i="17"/>
  <c r="AZ66" i="17"/>
  <c r="AX67" i="17"/>
  <c r="BB67" i="17"/>
  <c r="AZ68" i="17"/>
  <c r="AX69" i="17"/>
  <c r="BB69" i="17"/>
  <c r="AZ70" i="17"/>
  <c r="AY9" i="17"/>
  <c r="AY4" i="17" s="1"/>
  <c r="AW9" i="17"/>
  <c r="AR10" i="17"/>
  <c r="H33" i="21" s="1"/>
  <c r="AP11" i="17"/>
  <c r="P31" i="21" s="1"/>
  <c r="S31" i="21" s="1"/>
  <c r="AT11" i="17"/>
  <c r="L31" i="21" s="1"/>
  <c r="AR12" i="17"/>
  <c r="H34" i="21" s="1"/>
  <c r="AP13" i="17"/>
  <c r="P6" i="21" s="1"/>
  <c r="S6" i="21" s="1"/>
  <c r="AT13" i="17"/>
  <c r="L6" i="21" s="1"/>
  <c r="AR14" i="17"/>
  <c r="H32" i="21" s="1"/>
  <c r="AP15" i="17"/>
  <c r="P30" i="21" s="1"/>
  <c r="S30" i="21" s="1"/>
  <c r="BE64" i="17"/>
  <c r="BD64" i="17" s="1"/>
  <c r="AW10" i="17"/>
  <c r="BA12" i="17"/>
  <c r="AY15" i="17"/>
  <c r="AW18" i="17"/>
  <c r="BA20" i="17"/>
  <c r="AY23" i="17"/>
  <c r="AW26" i="17"/>
  <c r="BA28" i="17"/>
  <c r="AY31" i="17"/>
  <c r="AW34" i="17"/>
  <c r="AW36" i="17"/>
  <c r="AY37" i="17"/>
  <c r="BA38" i="17"/>
  <c r="AW40" i="17"/>
  <c r="AY41" i="17"/>
  <c r="BA42" i="17"/>
  <c r="AW44" i="17"/>
  <c r="AY45" i="17"/>
  <c r="BA46" i="17"/>
  <c r="AW48" i="17"/>
  <c r="AY49" i="17"/>
  <c r="BA50" i="17"/>
  <c r="AW52" i="17"/>
  <c r="AY53" i="17"/>
  <c r="BA54" i="17"/>
  <c r="AW56" i="17"/>
  <c r="AY57" i="17"/>
  <c r="BA58" i="17"/>
  <c r="AW60" i="17"/>
  <c r="AY61" i="17"/>
  <c r="BA62" i="17"/>
  <c r="AW64" i="17"/>
  <c r="AY65" i="17"/>
  <c r="BA66" i="17"/>
  <c r="AW68" i="17"/>
  <c r="AY69" i="17"/>
  <c r="BA70" i="17"/>
  <c r="AO10" i="17"/>
  <c r="O33" i="21" s="1"/>
  <c r="R33" i="21" s="1"/>
  <c r="AQ11" i="17"/>
  <c r="Q31" i="21" s="1"/>
  <c r="T31" i="21" s="1"/>
  <c r="AS12" i="17"/>
  <c r="J34" i="21" s="1"/>
  <c r="AO14" i="17"/>
  <c r="O32" i="21" s="1"/>
  <c r="R32" i="21" s="1"/>
  <c r="AQ15" i="17"/>
  <c r="Q30" i="21" s="1"/>
  <c r="T30" i="21" s="1"/>
  <c r="AO16" i="17"/>
  <c r="O46" i="21" s="1"/>
  <c r="R46" i="21" s="1"/>
  <c r="AS16" i="17"/>
  <c r="J46" i="21" s="1"/>
  <c r="AQ17" i="17"/>
  <c r="Q36" i="21" s="1"/>
  <c r="T36" i="21" s="1"/>
  <c r="AO18" i="17"/>
  <c r="O7" i="21" s="1"/>
  <c r="R7" i="21" s="1"/>
  <c r="AS18" i="17"/>
  <c r="J7" i="21" s="1"/>
  <c r="AQ19" i="17"/>
  <c r="Q37" i="21" s="1"/>
  <c r="T37" i="21" s="1"/>
  <c r="AO20" i="17"/>
  <c r="O35" i="21" s="1"/>
  <c r="R35" i="21" s="1"/>
  <c r="AS20" i="17"/>
  <c r="J35" i="21" s="1"/>
  <c r="AQ21" i="17"/>
  <c r="Q8" i="21" s="1"/>
  <c r="T8" i="21" s="1"/>
  <c r="AO22" i="17"/>
  <c r="O38" i="21" s="1"/>
  <c r="R38" i="21" s="1"/>
  <c r="AS22" i="17"/>
  <c r="J38" i="21" s="1"/>
  <c r="AQ23" i="17"/>
  <c r="Q39" i="21" s="1"/>
  <c r="T39" i="21" s="1"/>
  <c r="AO24" i="17"/>
  <c r="O10" i="21" s="1"/>
  <c r="R10" i="21" s="1"/>
  <c r="AS24" i="17"/>
  <c r="J10" i="21" s="1"/>
  <c r="AQ25" i="17"/>
  <c r="Q40" i="21" s="1"/>
  <c r="T40" i="21" s="1"/>
  <c r="AO26" i="17"/>
  <c r="O11" i="21" s="1"/>
  <c r="R11" i="21" s="1"/>
  <c r="AS26" i="17"/>
  <c r="J11" i="21" s="1"/>
  <c r="AQ27" i="17"/>
  <c r="Q41" i="21" s="1"/>
  <c r="T41" i="21" s="1"/>
  <c r="AO28" i="17"/>
  <c r="O42" i="21" s="1"/>
  <c r="R42" i="21" s="1"/>
  <c r="AS28" i="17"/>
  <c r="J42" i="21" s="1"/>
  <c r="AQ29" i="17"/>
  <c r="Q43" i="21" s="1"/>
  <c r="T43" i="21" s="1"/>
  <c r="AO30" i="17"/>
  <c r="O12" i="21" s="1"/>
  <c r="R12" i="21" s="1"/>
  <c r="AS30" i="17"/>
  <c r="J12" i="21" s="1"/>
  <c r="AQ31" i="17"/>
  <c r="Q44" i="21" s="1"/>
  <c r="T44" i="21" s="1"/>
  <c r="AO32" i="17"/>
  <c r="O13" i="21" s="1"/>
  <c r="R13" i="21" s="1"/>
  <c r="AS32" i="17"/>
  <c r="J13" i="21" s="1"/>
  <c r="AQ33" i="17"/>
  <c r="Q45" i="21" s="1"/>
  <c r="T45" i="21" s="1"/>
  <c r="AO34" i="17"/>
  <c r="O15" i="21" s="1"/>
  <c r="R15" i="21" s="1"/>
  <c r="AS34" i="17"/>
  <c r="J15" i="21" s="1"/>
  <c r="AQ35" i="17"/>
  <c r="Q14" i="21" s="1"/>
  <c r="T14" i="21" s="1"/>
  <c r="AO36" i="17"/>
  <c r="O47" i="21" s="1"/>
  <c r="R47" i="21" s="1"/>
  <c r="AS36" i="17"/>
  <c r="J47" i="21" s="1"/>
  <c r="AQ37" i="17"/>
  <c r="Q16" i="21" s="1"/>
  <c r="T16" i="21" s="1"/>
  <c r="AO38" i="17"/>
  <c r="O53" i="21" s="1"/>
  <c r="R53" i="21" s="1"/>
  <c r="AS38" i="17"/>
  <c r="J53" i="21" s="1"/>
  <c r="AQ39" i="17"/>
  <c r="Q54" i="21" s="1"/>
  <c r="T54" i="21" s="1"/>
  <c r="AO40" i="17"/>
  <c r="O17" i="21" s="1"/>
  <c r="R17" i="21" s="1"/>
  <c r="AS40" i="17"/>
  <c r="J17" i="21" s="1"/>
  <c r="AQ41" i="17"/>
  <c r="Q50" i="21" s="1"/>
  <c r="T50" i="21" s="1"/>
  <c r="AO42" i="17"/>
  <c r="O49" i="21" s="1"/>
  <c r="R49" i="21" s="1"/>
  <c r="AS42" i="17"/>
  <c r="J49" i="21" s="1"/>
  <c r="AQ43" i="17"/>
  <c r="Q52" i="21" s="1"/>
  <c r="T52" i="21" s="1"/>
  <c r="BF65" i="17"/>
  <c r="AZ10" i="17"/>
  <c r="AX13" i="17"/>
  <c r="BB15" i="17"/>
  <c r="AZ18" i="17"/>
  <c r="AX21" i="17"/>
  <c r="BB23" i="17"/>
  <c r="AZ26" i="17"/>
  <c r="AX29" i="17"/>
  <c r="BB31" i="17"/>
  <c r="AZ34" i="17"/>
  <c r="AX36" i="17"/>
  <c r="AZ37" i="17"/>
  <c r="BB38" i="17"/>
  <c r="AX40" i="17"/>
  <c r="AZ41" i="17"/>
  <c r="BB42" i="17"/>
  <c r="AX44" i="17"/>
  <c r="AZ45" i="17"/>
  <c r="BB46" i="17"/>
  <c r="AX48" i="17"/>
  <c r="AZ49" i="17"/>
  <c r="BB50" i="17"/>
  <c r="AX52" i="17"/>
  <c r="AZ53" i="17"/>
  <c r="BB54" i="17"/>
  <c r="AX56" i="17"/>
  <c r="AZ57" i="17"/>
  <c r="BB58" i="17"/>
  <c r="AX60" i="17"/>
  <c r="AZ61" i="17"/>
  <c r="BB62" i="17"/>
  <c r="AX64" i="17"/>
  <c r="AZ65" i="17"/>
  <c r="BB66" i="17"/>
  <c r="AX68" i="17"/>
  <c r="AZ69" i="17"/>
  <c r="BB70" i="17"/>
  <c r="AP10" i="17"/>
  <c r="P33" i="21" s="1"/>
  <c r="S33" i="21" s="1"/>
  <c r="AR11" i="17"/>
  <c r="H31" i="21" s="1"/>
  <c r="AT12" i="17"/>
  <c r="L34" i="21" s="1"/>
  <c r="AP14" i="17"/>
  <c r="P32" i="21" s="1"/>
  <c r="S32" i="21" s="1"/>
  <c r="AR15" i="17"/>
  <c r="H30" i="21" s="1"/>
  <c r="AP16" i="17"/>
  <c r="P46" i="21" s="1"/>
  <c r="S46" i="21" s="1"/>
  <c r="AT16" i="17"/>
  <c r="L46" i="21" s="1"/>
  <c r="AR17" i="17"/>
  <c r="H36" i="21" s="1"/>
  <c r="AP18" i="17"/>
  <c r="P7" i="21" s="1"/>
  <c r="S7" i="21" s="1"/>
  <c r="AT18" i="17"/>
  <c r="L7" i="21" s="1"/>
  <c r="AR19" i="17"/>
  <c r="H37" i="21" s="1"/>
  <c r="AP20" i="17"/>
  <c r="P35" i="21" s="1"/>
  <c r="S35" i="21" s="1"/>
  <c r="AT20" i="17"/>
  <c r="L35" i="21" s="1"/>
  <c r="AR21" i="17"/>
  <c r="H8" i="21" s="1"/>
  <c r="AP22" i="17"/>
  <c r="P38" i="21" s="1"/>
  <c r="S38" i="21" s="1"/>
  <c r="AT22" i="17"/>
  <c r="L38" i="21" s="1"/>
  <c r="AR23" i="17"/>
  <c r="H39" i="21" s="1"/>
  <c r="AP24" i="17"/>
  <c r="P10" i="21" s="1"/>
  <c r="S10" i="21" s="1"/>
  <c r="AT24" i="17"/>
  <c r="L10" i="21" s="1"/>
  <c r="AR25" i="17"/>
  <c r="H40" i="21" s="1"/>
  <c r="AP26" i="17"/>
  <c r="P11" i="21" s="1"/>
  <c r="S11" i="21" s="1"/>
  <c r="AT26" i="17"/>
  <c r="L11" i="21" s="1"/>
  <c r="AR27" i="17"/>
  <c r="H41" i="21" s="1"/>
  <c r="AP28" i="17"/>
  <c r="P42" i="21" s="1"/>
  <c r="S42" i="21" s="1"/>
  <c r="AT28" i="17"/>
  <c r="L42" i="21" s="1"/>
  <c r="AR29" i="17"/>
  <c r="H43" i="21" s="1"/>
  <c r="AP30" i="17"/>
  <c r="P12" i="21" s="1"/>
  <c r="S12" i="21" s="1"/>
  <c r="AT30" i="17"/>
  <c r="L12" i="21" s="1"/>
  <c r="AR31" i="17"/>
  <c r="H44" i="21" s="1"/>
  <c r="AP32" i="17"/>
  <c r="P13" i="21" s="1"/>
  <c r="S13" i="21" s="1"/>
  <c r="AT32" i="17"/>
  <c r="L13" i="21" s="1"/>
  <c r="AR33" i="17"/>
  <c r="H45" i="21" s="1"/>
  <c r="AP34" i="17"/>
  <c r="P15" i="21" s="1"/>
  <c r="S15" i="21" s="1"/>
  <c r="AT34" i="17"/>
  <c r="L15" i="21" s="1"/>
  <c r="AR35" i="17"/>
  <c r="H14" i="21" s="1"/>
  <c r="AP36" i="17"/>
  <c r="P47" i="21" s="1"/>
  <c r="S47" i="21" s="1"/>
  <c r="AT36" i="17"/>
  <c r="L47" i="21" s="1"/>
  <c r="AR37" i="17"/>
  <c r="H16" i="21" s="1"/>
  <c r="AP38" i="17"/>
  <c r="P53" i="21" s="1"/>
  <c r="S53" i="21" s="1"/>
  <c r="AT38" i="17"/>
  <c r="L53" i="21" s="1"/>
  <c r="AR39" i="17"/>
  <c r="H54" i="21" s="1"/>
  <c r="AP40" i="17"/>
  <c r="P17" i="21" s="1"/>
  <c r="S17" i="21" s="1"/>
  <c r="AT40" i="17"/>
  <c r="L17" i="21" s="1"/>
  <c r="AR41" i="17"/>
  <c r="H50" i="21" s="1"/>
  <c r="AP42" i="17"/>
  <c r="P49" i="21" s="1"/>
  <c r="S49" i="21" s="1"/>
  <c r="AT42" i="17"/>
  <c r="L49" i="21" s="1"/>
  <c r="AR43" i="17"/>
  <c r="H52" i="21" s="1"/>
  <c r="BE60" i="17"/>
  <c r="BD60" i="17" s="1"/>
  <c r="AY11" i="17"/>
  <c r="BA16" i="17"/>
  <c r="AW22" i="17"/>
  <c r="AY27" i="17"/>
  <c r="BA32" i="17"/>
  <c r="BA36" i="17"/>
  <c r="AY39" i="17"/>
  <c r="AW42" i="17"/>
  <c r="BA44" i="17"/>
  <c r="AY47" i="17"/>
  <c r="AW50" i="17"/>
  <c r="BA52" i="17"/>
  <c r="AY55" i="17"/>
  <c r="AW58" i="17"/>
  <c r="BA60" i="17"/>
  <c r="AY63" i="17"/>
  <c r="AW66" i="17"/>
  <c r="BA68" i="17"/>
  <c r="AZ9" i="17"/>
  <c r="AZ4" i="17" s="1"/>
  <c r="AO12" i="17"/>
  <c r="O34" i="21" s="1"/>
  <c r="R34" i="21" s="1"/>
  <c r="AS14" i="17"/>
  <c r="J32" i="21" s="1"/>
  <c r="AQ16" i="17"/>
  <c r="Q46" i="21" s="1"/>
  <c r="T46" i="21" s="1"/>
  <c r="AS17" i="17"/>
  <c r="J36" i="21" s="1"/>
  <c r="AO19" i="17"/>
  <c r="O37" i="21" s="1"/>
  <c r="R37" i="21" s="1"/>
  <c r="AQ20" i="17"/>
  <c r="Q35" i="21" s="1"/>
  <c r="T35" i="21" s="1"/>
  <c r="AS21" i="17"/>
  <c r="J8" i="21" s="1"/>
  <c r="AO23" i="17"/>
  <c r="O39" i="21" s="1"/>
  <c r="R39" i="21" s="1"/>
  <c r="AQ24" i="17"/>
  <c r="Q10" i="21" s="1"/>
  <c r="T10" i="21" s="1"/>
  <c r="AS25" i="17"/>
  <c r="J40" i="21" s="1"/>
  <c r="K40" i="21" s="1"/>
  <c r="AO27" i="17"/>
  <c r="O41" i="21" s="1"/>
  <c r="R41" i="21" s="1"/>
  <c r="AQ28" i="17"/>
  <c r="Q42" i="21" s="1"/>
  <c r="T42" i="21" s="1"/>
  <c r="AS29" i="17"/>
  <c r="J43" i="21" s="1"/>
  <c r="AO31" i="17"/>
  <c r="O44" i="21" s="1"/>
  <c r="R44" i="21" s="1"/>
  <c r="AQ32" i="17"/>
  <c r="Q13" i="21" s="1"/>
  <c r="T13" i="21" s="1"/>
  <c r="AS33" i="17"/>
  <c r="J45" i="21" s="1"/>
  <c r="AO35" i="17"/>
  <c r="O14" i="21" s="1"/>
  <c r="R14" i="21" s="1"/>
  <c r="AQ36" i="17"/>
  <c r="Q47" i="21" s="1"/>
  <c r="T47" i="21" s="1"/>
  <c r="AS37" i="17"/>
  <c r="J16" i="21" s="1"/>
  <c r="AO39" i="17"/>
  <c r="O54" i="21" s="1"/>
  <c r="R54" i="21" s="1"/>
  <c r="AQ40" i="17"/>
  <c r="Q17" i="21" s="1"/>
  <c r="T17" i="21" s="1"/>
  <c r="AS41" i="17"/>
  <c r="J50" i="21" s="1"/>
  <c r="AO43" i="17"/>
  <c r="O52" i="21" s="1"/>
  <c r="R52" i="21" s="1"/>
  <c r="AO44" i="17"/>
  <c r="O51" i="21" s="1"/>
  <c r="R51" i="21" s="1"/>
  <c r="AS44" i="17"/>
  <c r="J51" i="21" s="1"/>
  <c r="AQ45" i="17"/>
  <c r="Q19" i="21" s="1"/>
  <c r="T19" i="21" s="1"/>
  <c r="AO46" i="17"/>
  <c r="O18" i="21" s="1"/>
  <c r="R18" i="21" s="1"/>
  <c r="AS46" i="17"/>
  <c r="J18" i="21" s="1"/>
  <c r="AQ47" i="17"/>
  <c r="Q57" i="21" s="1"/>
  <c r="T57" i="21" s="1"/>
  <c r="AO48" i="17"/>
  <c r="O55" i="21" s="1"/>
  <c r="R55" i="21" s="1"/>
  <c r="AS48" i="17"/>
  <c r="J55" i="21" s="1"/>
  <c r="AQ49" i="17"/>
  <c r="Q56" i="21" s="1"/>
  <c r="T56" i="21" s="1"/>
  <c r="AO50" i="17"/>
  <c r="O20" i="21" s="1"/>
  <c r="R20" i="21" s="1"/>
  <c r="AS50" i="17"/>
  <c r="J20" i="21" s="1"/>
  <c r="AQ51" i="17"/>
  <c r="Q58" i="21" s="1"/>
  <c r="T58" i="21" s="1"/>
  <c r="AO52" i="17"/>
  <c r="O21" i="21" s="1"/>
  <c r="R21" i="21" s="1"/>
  <c r="AS52" i="17"/>
  <c r="J21" i="21" s="1"/>
  <c r="AQ53" i="17"/>
  <c r="Q22" i="21" s="1"/>
  <c r="T22" i="21" s="1"/>
  <c r="AO54" i="17"/>
  <c r="O23" i="21" s="1"/>
  <c r="R23" i="21" s="1"/>
  <c r="AS54" i="17"/>
  <c r="J23" i="21" s="1"/>
  <c r="AQ55" i="17"/>
  <c r="Q24" i="21" s="1"/>
  <c r="T24" i="21" s="1"/>
  <c r="AO56" i="17"/>
  <c r="O25" i="21" s="1"/>
  <c r="R25" i="21" s="1"/>
  <c r="AS56" i="17"/>
  <c r="J25" i="21" s="1"/>
  <c r="AQ57" i="17"/>
  <c r="Q26" i="21" s="1"/>
  <c r="T26" i="21" s="1"/>
  <c r="AO58" i="17"/>
  <c r="O9" i="21" s="1"/>
  <c r="R9" i="21" s="1"/>
  <c r="AS58" i="17"/>
  <c r="J9" i="21" s="1"/>
  <c r="AQ59" i="17"/>
  <c r="Q48" i="21" s="1"/>
  <c r="T48" i="21" s="1"/>
  <c r="AO60" i="17"/>
  <c r="O59" i="21" s="1"/>
  <c r="R59" i="21" s="1"/>
  <c r="AS60" i="17"/>
  <c r="J59" i="21" s="1"/>
  <c r="AQ61" i="17"/>
  <c r="Q27" i="21" s="1"/>
  <c r="T27" i="21" s="1"/>
  <c r="AO62" i="17"/>
  <c r="O61" i="21" s="1"/>
  <c r="R61" i="21" s="1"/>
  <c r="AS62" i="17"/>
  <c r="J61" i="21" s="1"/>
  <c r="AQ63" i="17"/>
  <c r="Q60" i="21" s="1"/>
  <c r="T60" i="21" s="1"/>
  <c r="AO64" i="17"/>
  <c r="O28" i="21" s="1"/>
  <c r="R28" i="21" s="1"/>
  <c r="AS64" i="17"/>
  <c r="J28" i="21" s="1"/>
  <c r="AQ65" i="17"/>
  <c r="Q62" i="21" s="1"/>
  <c r="T62" i="21" s="1"/>
  <c r="AO66" i="17"/>
  <c r="O29" i="21" s="1"/>
  <c r="R29" i="21" s="1"/>
  <c r="AS66" i="17"/>
  <c r="J29" i="21" s="1"/>
  <c r="AQ67" i="17"/>
  <c r="Q63" i="21" s="1"/>
  <c r="T63" i="21" s="1"/>
  <c r="AO68" i="17"/>
  <c r="O64" i="21" s="1"/>
  <c r="R64" i="21" s="1"/>
  <c r="AS68" i="17"/>
  <c r="J64" i="21" s="1"/>
  <c r="AQ69" i="17"/>
  <c r="Q65" i="21" s="1"/>
  <c r="T65" i="21" s="1"/>
  <c r="AO70" i="17"/>
  <c r="O66" i="21" s="1"/>
  <c r="R66" i="21" s="1"/>
  <c r="AS70" i="17"/>
  <c r="J66" i="21" s="1"/>
  <c r="K66" i="21" s="1"/>
  <c r="AR9" i="17"/>
  <c r="H5" i="21" s="1"/>
  <c r="AG10" i="17"/>
  <c r="BF61" i="17"/>
  <c r="BB11" i="17"/>
  <c r="AX17" i="17"/>
  <c r="AZ22" i="17"/>
  <c r="BB27" i="17"/>
  <c r="AX33" i="17"/>
  <c r="BB36" i="17"/>
  <c r="AZ39" i="17"/>
  <c r="AX42" i="17"/>
  <c r="BB44" i="17"/>
  <c r="AZ47" i="17"/>
  <c r="AX50" i="17"/>
  <c r="BB52" i="17"/>
  <c r="AZ55" i="17"/>
  <c r="AX58" i="17"/>
  <c r="BB60" i="17"/>
  <c r="AZ63" i="17"/>
  <c r="AX66" i="17"/>
  <c r="BB68" i="17"/>
  <c r="BA9" i="17"/>
  <c r="AP12" i="17"/>
  <c r="P34" i="21" s="1"/>
  <c r="S34" i="21" s="1"/>
  <c r="AT14" i="17"/>
  <c r="L32" i="21" s="1"/>
  <c r="AR16" i="17"/>
  <c r="H46" i="21" s="1"/>
  <c r="AT17" i="17"/>
  <c r="L36" i="21" s="1"/>
  <c r="AP19" i="17"/>
  <c r="P37" i="21" s="1"/>
  <c r="S37" i="21" s="1"/>
  <c r="AR20" i="17"/>
  <c r="H35" i="21" s="1"/>
  <c r="AT21" i="17"/>
  <c r="L8" i="21" s="1"/>
  <c r="AP23" i="17"/>
  <c r="P39" i="21" s="1"/>
  <c r="S39" i="21" s="1"/>
  <c r="AR24" i="17"/>
  <c r="H10" i="21" s="1"/>
  <c r="AT25" i="17"/>
  <c r="L40" i="21" s="1"/>
  <c r="AP27" i="17"/>
  <c r="P41" i="21" s="1"/>
  <c r="S41" i="21" s="1"/>
  <c r="AR28" i="17"/>
  <c r="H42" i="21" s="1"/>
  <c r="AT29" i="17"/>
  <c r="L43" i="21" s="1"/>
  <c r="AP31" i="17"/>
  <c r="P44" i="21" s="1"/>
  <c r="S44" i="21" s="1"/>
  <c r="AR32" i="17"/>
  <c r="H13" i="21" s="1"/>
  <c r="AT33" i="17"/>
  <c r="L45" i="21" s="1"/>
  <c r="AP35" i="17"/>
  <c r="P14" i="21" s="1"/>
  <c r="S14" i="21" s="1"/>
  <c r="AR36" i="17"/>
  <c r="H47" i="21" s="1"/>
  <c r="AT37" i="17"/>
  <c r="L16" i="21" s="1"/>
  <c r="M16" i="21" s="1"/>
  <c r="AP39" i="17"/>
  <c r="P54" i="21" s="1"/>
  <c r="S54" i="21" s="1"/>
  <c r="AR40" i="17"/>
  <c r="H17" i="21" s="1"/>
  <c r="AT41" i="17"/>
  <c r="L50" i="21" s="1"/>
  <c r="AP43" i="17"/>
  <c r="P52" i="21" s="1"/>
  <c r="S52" i="21" s="1"/>
  <c r="AP44" i="17"/>
  <c r="P51" i="21" s="1"/>
  <c r="S51" i="21" s="1"/>
  <c r="AT44" i="17"/>
  <c r="L51" i="21" s="1"/>
  <c r="AR45" i="17"/>
  <c r="H19" i="21" s="1"/>
  <c r="AP46" i="17"/>
  <c r="P18" i="21" s="1"/>
  <c r="S18" i="21" s="1"/>
  <c r="AT46" i="17"/>
  <c r="L18" i="21" s="1"/>
  <c r="AR47" i="17"/>
  <c r="H57" i="21" s="1"/>
  <c r="AP48" i="17"/>
  <c r="P55" i="21" s="1"/>
  <c r="S55" i="21" s="1"/>
  <c r="AT48" i="17"/>
  <c r="L55" i="21" s="1"/>
  <c r="AR49" i="17"/>
  <c r="H56" i="21" s="1"/>
  <c r="AP50" i="17"/>
  <c r="P20" i="21" s="1"/>
  <c r="S20" i="21" s="1"/>
  <c r="AT50" i="17"/>
  <c r="L20" i="21" s="1"/>
  <c r="AR51" i="17"/>
  <c r="H58" i="21" s="1"/>
  <c r="AP52" i="17"/>
  <c r="P21" i="21" s="1"/>
  <c r="S21" i="21" s="1"/>
  <c r="AT52" i="17"/>
  <c r="L21" i="21" s="1"/>
  <c r="AR53" i="17"/>
  <c r="H22" i="21" s="1"/>
  <c r="AP54" i="17"/>
  <c r="P23" i="21" s="1"/>
  <c r="S23" i="21" s="1"/>
  <c r="AT54" i="17"/>
  <c r="L23" i="21" s="1"/>
  <c r="AR55" i="17"/>
  <c r="H24" i="21" s="1"/>
  <c r="AP56" i="17"/>
  <c r="P25" i="21" s="1"/>
  <c r="S25" i="21" s="1"/>
  <c r="AT56" i="17"/>
  <c r="L25" i="21" s="1"/>
  <c r="AR57" i="17"/>
  <c r="H26" i="21" s="1"/>
  <c r="AP58" i="17"/>
  <c r="P9" i="21" s="1"/>
  <c r="S9" i="21" s="1"/>
  <c r="AT58" i="17"/>
  <c r="L9" i="21" s="1"/>
  <c r="AR59" i="17"/>
  <c r="H48" i="21" s="1"/>
  <c r="AP60" i="17"/>
  <c r="P59" i="21" s="1"/>
  <c r="S59" i="21" s="1"/>
  <c r="AT60" i="17"/>
  <c r="L59" i="21" s="1"/>
  <c r="AR61" i="17"/>
  <c r="H27" i="21" s="1"/>
  <c r="AP62" i="17"/>
  <c r="P61" i="21" s="1"/>
  <c r="S61" i="21" s="1"/>
  <c r="AT62" i="17"/>
  <c r="L61" i="21" s="1"/>
  <c r="AR63" i="17"/>
  <c r="H60" i="21" s="1"/>
  <c r="AP64" i="17"/>
  <c r="P28" i="21" s="1"/>
  <c r="S28" i="21" s="1"/>
  <c r="AT64" i="17"/>
  <c r="L28" i="21" s="1"/>
  <c r="AR65" i="17"/>
  <c r="H62" i="21" s="1"/>
  <c r="AP66" i="17"/>
  <c r="P29" i="21" s="1"/>
  <c r="S29" i="21" s="1"/>
  <c r="AT66" i="17"/>
  <c r="L29" i="21" s="1"/>
  <c r="AR67" i="17"/>
  <c r="H63" i="21" s="1"/>
  <c r="AP68" i="17"/>
  <c r="P64" i="21" s="1"/>
  <c r="S64" i="21" s="1"/>
  <c r="AT68" i="17"/>
  <c r="L64" i="21" s="1"/>
  <c r="AR69" i="17"/>
  <c r="H65" i="21" s="1"/>
  <c r="AP70" i="17"/>
  <c r="P66" i="21" s="1"/>
  <c r="S66" i="21" s="1"/>
  <c r="AT70" i="17"/>
  <c r="L66" i="21" s="1"/>
  <c r="AS9" i="17"/>
  <c r="J5" i="21" s="1"/>
  <c r="BE68" i="17"/>
  <c r="AW14" i="17"/>
  <c r="AY19" i="17"/>
  <c r="BA24" i="17"/>
  <c r="AW30" i="17"/>
  <c r="AY35" i="17"/>
  <c r="AW38" i="17"/>
  <c r="BA40" i="17"/>
  <c r="AY43" i="17"/>
  <c r="AW46" i="17"/>
  <c r="BA48" i="17"/>
  <c r="AY51" i="17"/>
  <c r="AW54" i="17"/>
  <c r="BA56" i="17"/>
  <c r="AY59" i="17"/>
  <c r="AW62" i="17"/>
  <c r="BA64" i="17"/>
  <c r="AY67" i="17"/>
  <c r="AW70" i="17"/>
  <c r="AS10" i="17"/>
  <c r="J33" i="21" s="1"/>
  <c r="AQ13" i="17"/>
  <c r="Q6" i="21" s="1"/>
  <c r="T6" i="21" s="1"/>
  <c r="AS15" i="17"/>
  <c r="J30" i="21" s="1"/>
  <c r="AO17" i="17"/>
  <c r="O36" i="21" s="1"/>
  <c r="R36" i="21" s="1"/>
  <c r="AQ18" i="17"/>
  <c r="Q7" i="21" s="1"/>
  <c r="T7" i="21" s="1"/>
  <c r="AS19" i="17"/>
  <c r="J37" i="21" s="1"/>
  <c r="AO21" i="17"/>
  <c r="O8" i="21" s="1"/>
  <c r="R8" i="21" s="1"/>
  <c r="AQ22" i="17"/>
  <c r="Q38" i="21" s="1"/>
  <c r="T38" i="21" s="1"/>
  <c r="AS23" i="17"/>
  <c r="J39" i="21" s="1"/>
  <c r="AO25" i="17"/>
  <c r="O40" i="21" s="1"/>
  <c r="R40" i="21" s="1"/>
  <c r="AQ26" i="17"/>
  <c r="Q11" i="21" s="1"/>
  <c r="T11" i="21" s="1"/>
  <c r="AS27" i="17"/>
  <c r="J41" i="21" s="1"/>
  <c r="AO29" i="17"/>
  <c r="O43" i="21" s="1"/>
  <c r="R43" i="21" s="1"/>
  <c r="AQ30" i="17"/>
  <c r="Q12" i="21" s="1"/>
  <c r="T12" i="21" s="1"/>
  <c r="AS31" i="17"/>
  <c r="J44" i="21" s="1"/>
  <c r="AO33" i="17"/>
  <c r="O45" i="21" s="1"/>
  <c r="R45" i="21" s="1"/>
  <c r="AQ34" i="17"/>
  <c r="Q15" i="21" s="1"/>
  <c r="T15" i="21" s="1"/>
  <c r="AS35" i="17"/>
  <c r="J14" i="21" s="1"/>
  <c r="AO37" i="17"/>
  <c r="O16" i="21" s="1"/>
  <c r="R16" i="21" s="1"/>
  <c r="AQ38" i="17"/>
  <c r="Q53" i="21" s="1"/>
  <c r="T53" i="21" s="1"/>
  <c r="AS39" i="17"/>
  <c r="J54" i="21" s="1"/>
  <c r="K54" i="21" s="1"/>
  <c r="AO41" i="17"/>
  <c r="O50" i="21" s="1"/>
  <c r="R50" i="21" s="1"/>
  <c r="AQ42" i="17"/>
  <c r="Q49" i="21" s="1"/>
  <c r="T49" i="21" s="1"/>
  <c r="AS43" i="17"/>
  <c r="J52" i="21" s="1"/>
  <c r="AQ44" i="17"/>
  <c r="Q51" i="21" s="1"/>
  <c r="T51" i="21" s="1"/>
  <c r="AO45" i="17"/>
  <c r="O19" i="21" s="1"/>
  <c r="R19" i="21" s="1"/>
  <c r="AS45" i="17"/>
  <c r="J19" i="21" s="1"/>
  <c r="AQ46" i="17"/>
  <c r="Q18" i="21" s="1"/>
  <c r="T18" i="21" s="1"/>
  <c r="AO47" i="17"/>
  <c r="O57" i="21" s="1"/>
  <c r="R57" i="21" s="1"/>
  <c r="AS47" i="17"/>
  <c r="J57" i="21" s="1"/>
  <c r="AQ48" i="17"/>
  <c r="Q55" i="21" s="1"/>
  <c r="T55" i="21" s="1"/>
  <c r="AO49" i="17"/>
  <c r="O56" i="21" s="1"/>
  <c r="R56" i="21" s="1"/>
  <c r="AS49" i="17"/>
  <c r="J56" i="21" s="1"/>
  <c r="AQ50" i="17"/>
  <c r="Q20" i="21" s="1"/>
  <c r="T20" i="21" s="1"/>
  <c r="AO51" i="17"/>
  <c r="O58" i="21" s="1"/>
  <c r="R58" i="21" s="1"/>
  <c r="AS51" i="17"/>
  <c r="J58" i="21" s="1"/>
  <c r="AQ52" i="17"/>
  <c r="Q21" i="21" s="1"/>
  <c r="T21" i="21" s="1"/>
  <c r="AO53" i="17"/>
  <c r="O22" i="21" s="1"/>
  <c r="R22" i="21" s="1"/>
  <c r="AS53" i="17"/>
  <c r="J22" i="21" s="1"/>
  <c r="AQ54" i="17"/>
  <c r="Q23" i="21" s="1"/>
  <c r="T23" i="21" s="1"/>
  <c r="AO55" i="17"/>
  <c r="O24" i="21" s="1"/>
  <c r="R24" i="21" s="1"/>
  <c r="AS55" i="17"/>
  <c r="J24" i="21" s="1"/>
  <c r="AQ56" i="17"/>
  <c r="Q25" i="21" s="1"/>
  <c r="T25" i="21" s="1"/>
  <c r="AO57" i="17"/>
  <c r="O26" i="21" s="1"/>
  <c r="R26" i="21" s="1"/>
  <c r="AS57" i="17"/>
  <c r="J26" i="21" s="1"/>
  <c r="AQ58" i="17"/>
  <c r="Q9" i="21" s="1"/>
  <c r="T9" i="21" s="1"/>
  <c r="AO59" i="17"/>
  <c r="O48" i="21" s="1"/>
  <c r="R48" i="21" s="1"/>
  <c r="AS59" i="17"/>
  <c r="J48" i="21" s="1"/>
  <c r="AQ60" i="17"/>
  <c r="Q59" i="21" s="1"/>
  <c r="T59" i="21" s="1"/>
  <c r="AO61" i="17"/>
  <c r="O27" i="21" s="1"/>
  <c r="R27" i="21" s="1"/>
  <c r="AS61" i="17"/>
  <c r="J27" i="21" s="1"/>
  <c r="AQ62" i="17"/>
  <c r="Q61" i="21" s="1"/>
  <c r="T61" i="21" s="1"/>
  <c r="AO63" i="17"/>
  <c r="O60" i="21" s="1"/>
  <c r="R60" i="21" s="1"/>
  <c r="AS63" i="17"/>
  <c r="J60" i="21" s="1"/>
  <c r="AQ64" i="17"/>
  <c r="Q28" i="21" s="1"/>
  <c r="T28" i="21" s="1"/>
  <c r="AO65" i="17"/>
  <c r="O62" i="21" s="1"/>
  <c r="R62" i="21" s="1"/>
  <c r="AS65" i="17"/>
  <c r="J62" i="21" s="1"/>
  <c r="AQ66" i="17"/>
  <c r="Q29" i="21" s="1"/>
  <c r="T29" i="21" s="1"/>
  <c r="AO67" i="17"/>
  <c r="O63" i="21" s="1"/>
  <c r="R63" i="21" s="1"/>
  <c r="AS67" i="17"/>
  <c r="J63" i="21" s="1"/>
  <c r="AQ68" i="17"/>
  <c r="Q64" i="21" s="1"/>
  <c r="T64" i="21" s="1"/>
  <c r="AO69" i="17"/>
  <c r="O65" i="21" s="1"/>
  <c r="R65" i="21" s="1"/>
  <c r="AS69" i="17"/>
  <c r="J65" i="21" s="1"/>
  <c r="AQ70" i="17"/>
  <c r="Q66" i="21" s="1"/>
  <c r="T66" i="21" s="1"/>
  <c r="AP9" i="17"/>
  <c r="AT9" i="17"/>
  <c r="L5" i="21" s="1"/>
  <c r="AI10" i="17"/>
  <c r="AG11" i="17"/>
  <c r="AK11" i="17"/>
  <c r="AI12" i="17"/>
  <c r="AG13" i="17"/>
  <c r="AK13" i="17"/>
  <c r="AI14" i="17"/>
  <c r="AG15" i="17"/>
  <c r="AK15" i="17"/>
  <c r="AI16" i="17"/>
  <c r="AG17" i="17"/>
  <c r="AK17" i="17"/>
  <c r="AI18" i="17"/>
  <c r="AG19" i="17"/>
  <c r="AK19" i="17"/>
  <c r="AI20" i="17"/>
  <c r="AG21" i="17"/>
  <c r="AK21" i="17"/>
  <c r="AI22" i="17"/>
  <c r="AG23" i="17"/>
  <c r="AK23" i="17"/>
  <c r="AI24" i="17"/>
  <c r="AG25" i="17"/>
  <c r="AK25" i="17"/>
  <c r="AI26" i="17"/>
  <c r="AG27" i="17"/>
  <c r="AK27" i="17"/>
  <c r="AI28" i="17"/>
  <c r="AG29" i="17"/>
  <c r="AK29" i="17"/>
  <c r="AI30" i="17"/>
  <c r="AG31" i="17"/>
  <c r="AK31" i="17"/>
  <c r="AI32" i="17"/>
  <c r="AG33" i="17"/>
  <c r="AK33" i="17"/>
  <c r="AI34" i="17"/>
  <c r="AG35" i="17"/>
  <c r="AK35" i="17"/>
  <c r="AI36" i="17"/>
  <c r="AG37" i="17"/>
  <c r="AK37" i="17"/>
  <c r="AI38" i="17"/>
  <c r="AG39" i="17"/>
  <c r="AK39" i="17"/>
  <c r="AI40" i="17"/>
  <c r="AG41" i="17"/>
  <c r="AK41" i="17"/>
  <c r="AI42" i="17"/>
  <c r="AG43" i="17"/>
  <c r="AK43" i="17"/>
  <c r="AI44" i="17"/>
  <c r="AG45" i="17"/>
  <c r="AK45" i="17"/>
  <c r="AI46" i="17"/>
  <c r="AG47" i="17"/>
  <c r="AK47" i="17"/>
  <c r="AI48" i="17"/>
  <c r="AG49" i="17"/>
  <c r="AK49" i="17"/>
  <c r="BF69" i="17"/>
  <c r="AZ14" i="17"/>
  <c r="BB19" i="17"/>
  <c r="AX25" i="17"/>
  <c r="AZ30" i="17"/>
  <c r="AZ35" i="17"/>
  <c r="AX38" i="17"/>
  <c r="BB40" i="17"/>
  <c r="AZ43" i="17"/>
  <c r="AX46" i="17"/>
  <c r="BB48" i="17"/>
  <c r="AZ51" i="17"/>
  <c r="AX54" i="17"/>
  <c r="BB56" i="17"/>
  <c r="AZ59" i="17"/>
  <c r="AX62" i="17"/>
  <c r="BB64" i="17"/>
  <c r="AZ67" i="17"/>
  <c r="AX70" i="17"/>
  <c r="AT10" i="17"/>
  <c r="L33" i="21" s="1"/>
  <c r="AR13" i="17"/>
  <c r="H6" i="21" s="1"/>
  <c r="AT15" i="17"/>
  <c r="L30" i="21" s="1"/>
  <c r="AP17" i="17"/>
  <c r="P36" i="21" s="1"/>
  <c r="S36" i="21" s="1"/>
  <c r="AR18" i="17"/>
  <c r="H7" i="21" s="1"/>
  <c r="AT19" i="17"/>
  <c r="L37" i="21" s="1"/>
  <c r="AP21" i="17"/>
  <c r="P8" i="21" s="1"/>
  <c r="S8" i="21" s="1"/>
  <c r="AR22" i="17"/>
  <c r="H38" i="21" s="1"/>
  <c r="AT23" i="17"/>
  <c r="L39" i="21" s="1"/>
  <c r="AP25" i="17"/>
  <c r="P40" i="21" s="1"/>
  <c r="S40" i="21" s="1"/>
  <c r="AR26" i="17"/>
  <c r="H11" i="21" s="1"/>
  <c r="AT27" i="17"/>
  <c r="L41" i="21" s="1"/>
  <c r="AP29" i="17"/>
  <c r="P43" i="21" s="1"/>
  <c r="S43" i="21" s="1"/>
  <c r="AR30" i="17"/>
  <c r="H12" i="21" s="1"/>
  <c r="AT31" i="17"/>
  <c r="L44" i="21" s="1"/>
  <c r="AP33" i="17"/>
  <c r="P45" i="21" s="1"/>
  <c r="S45" i="21" s="1"/>
  <c r="AR34" i="17"/>
  <c r="H15" i="21" s="1"/>
  <c r="AT35" i="17"/>
  <c r="L14" i="21" s="1"/>
  <c r="AP37" i="17"/>
  <c r="P16" i="21" s="1"/>
  <c r="S16" i="21" s="1"/>
  <c r="AR38" i="17"/>
  <c r="H53" i="21" s="1"/>
  <c r="AT39" i="17"/>
  <c r="L54" i="21" s="1"/>
  <c r="AP41" i="17"/>
  <c r="P50" i="21" s="1"/>
  <c r="S50" i="21" s="1"/>
  <c r="AR42" i="17"/>
  <c r="H49" i="21" s="1"/>
  <c r="AT43" i="17"/>
  <c r="L52" i="21" s="1"/>
  <c r="AR44" i="17"/>
  <c r="H51" i="21" s="1"/>
  <c r="AP45" i="17"/>
  <c r="P19" i="21" s="1"/>
  <c r="S19" i="21" s="1"/>
  <c r="AT45" i="17"/>
  <c r="L19" i="21" s="1"/>
  <c r="AR46" i="17"/>
  <c r="H18" i="21" s="1"/>
  <c r="AP47" i="17"/>
  <c r="P57" i="21" s="1"/>
  <c r="S57" i="21" s="1"/>
  <c r="AT47" i="17"/>
  <c r="L57" i="21" s="1"/>
  <c r="AR48" i="17"/>
  <c r="H55" i="21" s="1"/>
  <c r="AP49" i="17"/>
  <c r="P56" i="21" s="1"/>
  <c r="S56" i="21" s="1"/>
  <c r="AT49" i="17"/>
  <c r="L56" i="21" s="1"/>
  <c r="AR50" i="17"/>
  <c r="H20" i="21" s="1"/>
  <c r="AP51" i="17"/>
  <c r="P58" i="21" s="1"/>
  <c r="S58" i="21" s="1"/>
  <c r="AT51" i="17"/>
  <c r="L58" i="21" s="1"/>
  <c r="AR52" i="17"/>
  <c r="H21" i="21" s="1"/>
  <c r="AP53" i="17"/>
  <c r="P22" i="21" s="1"/>
  <c r="S22" i="21" s="1"/>
  <c r="AT53" i="17"/>
  <c r="L22" i="21" s="1"/>
  <c r="AR54" i="17"/>
  <c r="H23" i="21" s="1"/>
  <c r="AP55" i="17"/>
  <c r="P24" i="21" s="1"/>
  <c r="S24" i="21" s="1"/>
  <c r="AT55" i="17"/>
  <c r="L24" i="21" s="1"/>
  <c r="AR56" i="17"/>
  <c r="H25" i="21" s="1"/>
  <c r="AP57" i="17"/>
  <c r="P26" i="21" s="1"/>
  <c r="S26" i="21" s="1"/>
  <c r="AT57" i="17"/>
  <c r="L26" i="21" s="1"/>
  <c r="AR58" i="17"/>
  <c r="H9" i="21" s="1"/>
  <c r="AP59" i="17"/>
  <c r="P48" i="21" s="1"/>
  <c r="S48" i="21" s="1"/>
  <c r="AT59" i="17"/>
  <c r="L48" i="21" s="1"/>
  <c r="AR60" i="17"/>
  <c r="H59" i="21" s="1"/>
  <c r="AP61" i="17"/>
  <c r="P27" i="21" s="1"/>
  <c r="S27" i="21" s="1"/>
  <c r="AT61" i="17"/>
  <c r="L27" i="21" s="1"/>
  <c r="AR62" i="17"/>
  <c r="H61" i="21" s="1"/>
  <c r="AP63" i="17"/>
  <c r="P60" i="21" s="1"/>
  <c r="S60" i="21" s="1"/>
  <c r="AT63" i="17"/>
  <c r="L60" i="21" s="1"/>
  <c r="AR64" i="17"/>
  <c r="H28" i="21" s="1"/>
  <c r="AP65" i="17"/>
  <c r="P62" i="21" s="1"/>
  <c r="S62" i="21" s="1"/>
  <c r="AT65" i="17"/>
  <c r="L62" i="21" s="1"/>
  <c r="AR66" i="17"/>
  <c r="H29" i="21" s="1"/>
  <c r="AP67" i="17"/>
  <c r="P63" i="21" s="1"/>
  <c r="S63" i="21" s="1"/>
  <c r="AT67" i="17"/>
  <c r="L63" i="21" s="1"/>
  <c r="AR68" i="17"/>
  <c r="H64" i="21" s="1"/>
  <c r="AP69" i="17"/>
  <c r="P65" i="21" s="1"/>
  <c r="S65" i="21" s="1"/>
  <c r="AT69" i="17"/>
  <c r="L65" i="21" s="1"/>
  <c r="AR70" i="17"/>
  <c r="H66" i="21" s="1"/>
  <c r="AQ9" i="17"/>
  <c r="AO9" i="17"/>
  <c r="AJ10" i="17"/>
  <c r="AH11" i="17"/>
  <c r="AL11" i="17"/>
  <c r="AJ12" i="17"/>
  <c r="AH13" i="17"/>
  <c r="AL13" i="17"/>
  <c r="AJ14" i="17"/>
  <c r="AH15" i="17"/>
  <c r="AL15" i="17"/>
  <c r="AJ16" i="17"/>
  <c r="AH17" i="17"/>
  <c r="AL17" i="17"/>
  <c r="AJ18" i="17"/>
  <c r="AH19" i="17"/>
  <c r="AL19" i="17"/>
  <c r="AJ20" i="17"/>
  <c r="AH21" i="17"/>
  <c r="AL21" i="17"/>
  <c r="AJ22" i="17"/>
  <c r="AH23" i="17"/>
  <c r="AL23" i="17"/>
  <c r="AJ24" i="17"/>
  <c r="AH25" i="17"/>
  <c r="AL25" i="17"/>
  <c r="AJ26" i="17"/>
  <c r="AH27" i="17"/>
  <c r="AL27" i="17"/>
  <c r="AJ28" i="17"/>
  <c r="AH29" i="17"/>
  <c r="AL29" i="17"/>
  <c r="AJ30" i="17"/>
  <c r="AH31" i="17"/>
  <c r="AL31" i="17"/>
  <c r="AJ32" i="17"/>
  <c r="AH33" i="17"/>
  <c r="AL33" i="17"/>
  <c r="AJ34" i="17"/>
  <c r="AH35" i="17"/>
  <c r="AL35" i="17"/>
  <c r="AJ36" i="17"/>
  <c r="AH37" i="17"/>
  <c r="AL37" i="17"/>
  <c r="AJ38" i="17"/>
  <c r="AH39" i="17"/>
  <c r="AL39" i="17"/>
  <c r="AJ40" i="17"/>
  <c r="AH41" i="17"/>
  <c r="AL41" i="17"/>
  <c r="AJ42" i="17"/>
  <c r="AH43" i="17"/>
  <c r="AL43" i="17"/>
  <c r="AJ44" i="17"/>
  <c r="AH45" i="17"/>
  <c r="AL45" i="17"/>
  <c r="AJ46" i="17"/>
  <c r="AH47" i="17"/>
  <c r="AL47" i="17"/>
  <c r="AJ48" i="17"/>
  <c r="AH49" i="17"/>
  <c r="AH10" i="17"/>
  <c r="AJ11" i="17"/>
  <c r="AL12" i="17"/>
  <c r="AH14" i="17"/>
  <c r="AJ15" i="17"/>
  <c r="AL16" i="17"/>
  <c r="AH18" i="17"/>
  <c r="AJ19" i="17"/>
  <c r="AL20" i="17"/>
  <c r="AH22" i="17"/>
  <c r="AJ23" i="17"/>
  <c r="AL24" i="17"/>
  <c r="AH26" i="17"/>
  <c r="AJ27" i="17"/>
  <c r="AL28" i="17"/>
  <c r="AH30" i="17"/>
  <c r="AJ31" i="17"/>
  <c r="AL32" i="17"/>
  <c r="AH34" i="17"/>
  <c r="AJ35" i="17"/>
  <c r="AL36" i="17"/>
  <c r="AH38" i="17"/>
  <c r="AJ39" i="17"/>
  <c r="AL40" i="17"/>
  <c r="AH42" i="17"/>
  <c r="AJ43" i="17"/>
  <c r="AL44" i="17"/>
  <c r="AH46" i="17"/>
  <c r="AJ47" i="17"/>
  <c r="AL48" i="17"/>
  <c r="AG50" i="17"/>
  <c r="AK50" i="17"/>
  <c r="AI51" i="17"/>
  <c r="AG52" i="17"/>
  <c r="AK52" i="17"/>
  <c r="AI53" i="17"/>
  <c r="AG54" i="17"/>
  <c r="AK54" i="17"/>
  <c r="AI55" i="17"/>
  <c r="AG56" i="17"/>
  <c r="AK56" i="17"/>
  <c r="AI57" i="17"/>
  <c r="AG58" i="17"/>
  <c r="AK58" i="17"/>
  <c r="AI59" i="17"/>
  <c r="AG60" i="17"/>
  <c r="AK60" i="17"/>
  <c r="AI61" i="17"/>
  <c r="AG62" i="17"/>
  <c r="AK62" i="17"/>
  <c r="AI63" i="17"/>
  <c r="AG64" i="17"/>
  <c r="AK64" i="17"/>
  <c r="AI65" i="17"/>
  <c r="AG66" i="17"/>
  <c r="AK66" i="17"/>
  <c r="AI67" i="17"/>
  <c r="AG68" i="17"/>
  <c r="AK68" i="17"/>
  <c r="AI69" i="17"/>
  <c r="AG70" i="17"/>
  <c r="AK70" i="17"/>
  <c r="AJ9" i="17"/>
  <c r="X10" i="17"/>
  <c r="R33" i="20" s="1"/>
  <c r="U33" i="20" s="1"/>
  <c r="AB10" i="17"/>
  <c r="J33" i="20" s="1"/>
  <c r="Y11" i="17"/>
  <c r="S31" i="20" s="1"/>
  <c r="V31" i="20" s="1"/>
  <c r="AC11" i="17"/>
  <c r="M31" i="20" s="1"/>
  <c r="Z12" i="17"/>
  <c r="T34" i="20" s="1"/>
  <c r="W34" i="20" s="1"/>
  <c r="AD12" i="17"/>
  <c r="O34" i="20" s="1"/>
  <c r="AA13" i="17"/>
  <c r="H6" i="20" s="1"/>
  <c r="X14" i="17"/>
  <c r="R32" i="20" s="1"/>
  <c r="U32" i="20" s="1"/>
  <c r="AB14" i="17"/>
  <c r="J32" i="20" s="1"/>
  <c r="Y15" i="17"/>
  <c r="S30" i="20" s="1"/>
  <c r="V30" i="20" s="1"/>
  <c r="AC15" i="17"/>
  <c r="M30" i="20" s="1"/>
  <c r="Z16" i="17"/>
  <c r="T46" i="20" s="1"/>
  <c r="W46" i="20" s="1"/>
  <c r="AD16" i="17"/>
  <c r="O46" i="20" s="1"/>
  <c r="AA17" i="17"/>
  <c r="H36" i="20" s="1"/>
  <c r="X18" i="17"/>
  <c r="R7" i="20" s="1"/>
  <c r="U7" i="20" s="1"/>
  <c r="AB18" i="17"/>
  <c r="J7" i="20" s="1"/>
  <c r="Y19" i="17"/>
  <c r="S37" i="20" s="1"/>
  <c r="V37" i="20" s="1"/>
  <c r="AC19" i="17"/>
  <c r="M37" i="20" s="1"/>
  <c r="Z20" i="17"/>
  <c r="T35" i="20" s="1"/>
  <c r="W35" i="20" s="1"/>
  <c r="AD20" i="17"/>
  <c r="O35" i="20" s="1"/>
  <c r="AA21" i="17"/>
  <c r="H8" i="20" s="1"/>
  <c r="I8" i="20" s="1"/>
  <c r="X22" i="17"/>
  <c r="R38" i="20" s="1"/>
  <c r="U38" i="20" s="1"/>
  <c r="AB22" i="17"/>
  <c r="J38" i="20" s="1"/>
  <c r="Y23" i="17"/>
  <c r="S39" i="20" s="1"/>
  <c r="V39" i="20" s="1"/>
  <c r="AC23" i="17"/>
  <c r="M39" i="20" s="1"/>
  <c r="Z24" i="17"/>
  <c r="T10" i="20" s="1"/>
  <c r="W10" i="20" s="1"/>
  <c r="AD24" i="17"/>
  <c r="O10" i="20" s="1"/>
  <c r="AA25" i="17"/>
  <c r="H40" i="20" s="1"/>
  <c r="X26" i="17"/>
  <c r="R11" i="20" s="1"/>
  <c r="U11" i="20" s="1"/>
  <c r="AB26" i="17"/>
  <c r="J11" i="20" s="1"/>
  <c r="Y27" i="17"/>
  <c r="S41" i="20" s="1"/>
  <c r="V41" i="20" s="1"/>
  <c r="AC27" i="17"/>
  <c r="M41" i="20" s="1"/>
  <c r="Z28" i="17"/>
  <c r="T42" i="20" s="1"/>
  <c r="W42" i="20" s="1"/>
  <c r="AD28" i="17"/>
  <c r="O42" i="20" s="1"/>
  <c r="AA29" i="17"/>
  <c r="H43" i="20" s="1"/>
  <c r="X30" i="17"/>
  <c r="R12" i="20" s="1"/>
  <c r="U12" i="20" s="1"/>
  <c r="AB30" i="17"/>
  <c r="J12" i="20" s="1"/>
  <c r="K12" i="20" s="1"/>
  <c r="Y31" i="17"/>
  <c r="S44" i="20" s="1"/>
  <c r="V44" i="20" s="1"/>
  <c r="AC31" i="17"/>
  <c r="M44" i="20" s="1"/>
  <c r="Z32" i="17"/>
  <c r="T13" i="20" s="1"/>
  <c r="W13" i="20" s="1"/>
  <c r="AD32" i="17"/>
  <c r="O13" i="20" s="1"/>
  <c r="AA33" i="17"/>
  <c r="H45" i="20" s="1"/>
  <c r="X34" i="17"/>
  <c r="R15" i="20" s="1"/>
  <c r="U15" i="20" s="1"/>
  <c r="AB34" i="17"/>
  <c r="J15" i="20" s="1"/>
  <c r="Y35" i="17"/>
  <c r="S14" i="20" s="1"/>
  <c r="V14" i="20" s="1"/>
  <c r="AC35" i="17"/>
  <c r="M14" i="20" s="1"/>
  <c r="Z36" i="17"/>
  <c r="T47" i="20" s="1"/>
  <c r="W47" i="20" s="1"/>
  <c r="AD36" i="17"/>
  <c r="O47" i="20" s="1"/>
  <c r="AA37" i="17"/>
  <c r="H16" i="20" s="1"/>
  <c r="X38" i="17"/>
  <c r="R53" i="20" s="1"/>
  <c r="U53" i="20" s="1"/>
  <c r="AB38" i="17"/>
  <c r="J53" i="20" s="1"/>
  <c r="Y39" i="17"/>
  <c r="S54" i="20" s="1"/>
  <c r="V54" i="20" s="1"/>
  <c r="AC39" i="17"/>
  <c r="M54" i="20" s="1"/>
  <c r="Z40" i="17"/>
  <c r="T17" i="20" s="1"/>
  <c r="W17" i="20" s="1"/>
  <c r="AD40" i="17"/>
  <c r="O17" i="20" s="1"/>
  <c r="AA41" i="17"/>
  <c r="H50" i="20" s="1"/>
  <c r="X42" i="17"/>
  <c r="R49" i="20" s="1"/>
  <c r="U49" i="20" s="1"/>
  <c r="AB42" i="17"/>
  <c r="J49" i="20" s="1"/>
  <c r="Y43" i="17"/>
  <c r="S52" i="20" s="1"/>
  <c r="V52" i="20" s="1"/>
  <c r="AC43" i="17"/>
  <c r="M52" i="20" s="1"/>
  <c r="Z44" i="17"/>
  <c r="T51" i="20" s="1"/>
  <c r="W51" i="20" s="1"/>
  <c r="AD44" i="17"/>
  <c r="O51" i="20" s="1"/>
  <c r="AA45" i="17"/>
  <c r="H19" i="20" s="1"/>
  <c r="X46" i="17"/>
  <c r="R18" i="20" s="1"/>
  <c r="U18" i="20" s="1"/>
  <c r="AB46" i="17"/>
  <c r="J18" i="20" s="1"/>
  <c r="K18" i="20" s="1"/>
  <c r="Y47" i="17"/>
  <c r="S57" i="20" s="1"/>
  <c r="V57" i="20" s="1"/>
  <c r="AC47" i="17"/>
  <c r="M57" i="20" s="1"/>
  <c r="Z48" i="17"/>
  <c r="T55" i="20" s="1"/>
  <c r="W55" i="20" s="1"/>
  <c r="AD48" i="17"/>
  <c r="O55" i="20" s="1"/>
  <c r="AA49" i="17"/>
  <c r="H56" i="20" s="1"/>
  <c r="X50" i="17"/>
  <c r="R20" i="20" s="1"/>
  <c r="U20" i="20" s="1"/>
  <c r="AB50" i="17"/>
  <c r="J20" i="20" s="1"/>
  <c r="Y51" i="17"/>
  <c r="S58" i="20" s="1"/>
  <c r="V58" i="20" s="1"/>
  <c r="AC51" i="17"/>
  <c r="M58" i="20" s="1"/>
  <c r="Z52" i="17"/>
  <c r="T21" i="20" s="1"/>
  <c r="W21" i="20" s="1"/>
  <c r="AD52" i="17"/>
  <c r="O21" i="20" s="1"/>
  <c r="AA53" i="17"/>
  <c r="H22" i="20" s="1"/>
  <c r="X54" i="17"/>
  <c r="R23" i="20" s="1"/>
  <c r="U23" i="20" s="1"/>
  <c r="AB54" i="17"/>
  <c r="J23" i="20" s="1"/>
  <c r="Y55" i="17"/>
  <c r="S24" i="20" s="1"/>
  <c r="V24" i="20" s="1"/>
  <c r="AC55" i="17"/>
  <c r="M24" i="20" s="1"/>
  <c r="Z56" i="17"/>
  <c r="T25" i="20" s="1"/>
  <c r="W25" i="20" s="1"/>
  <c r="AD56" i="17"/>
  <c r="O25" i="20" s="1"/>
  <c r="AA57" i="17"/>
  <c r="H26" i="20" s="1"/>
  <c r="X58" i="17"/>
  <c r="R9" i="20" s="1"/>
  <c r="U9" i="20" s="1"/>
  <c r="AB58" i="17"/>
  <c r="J9" i="20" s="1"/>
  <c r="Y59" i="17"/>
  <c r="S48" i="20" s="1"/>
  <c r="V48" i="20" s="1"/>
  <c r="AC59" i="17"/>
  <c r="M48" i="20" s="1"/>
  <c r="Z60" i="17"/>
  <c r="T59" i="20" s="1"/>
  <c r="W59" i="20" s="1"/>
  <c r="AD60" i="17"/>
  <c r="O59" i="20" s="1"/>
  <c r="AA61" i="17"/>
  <c r="H27" i="20" s="1"/>
  <c r="X62" i="17"/>
  <c r="R61" i="20" s="1"/>
  <c r="U61" i="20" s="1"/>
  <c r="AB62" i="17"/>
  <c r="J61" i="20" s="1"/>
  <c r="Y63" i="17"/>
  <c r="S60" i="20" s="1"/>
  <c r="V60" i="20" s="1"/>
  <c r="AC63" i="17"/>
  <c r="M60" i="20" s="1"/>
  <c r="Z64" i="17"/>
  <c r="T28" i="20" s="1"/>
  <c r="W28" i="20" s="1"/>
  <c r="AD64" i="17"/>
  <c r="O28" i="20" s="1"/>
  <c r="AA65" i="17"/>
  <c r="H62" i="20" s="1"/>
  <c r="X66" i="17"/>
  <c r="R29" i="20" s="1"/>
  <c r="U29" i="20" s="1"/>
  <c r="AB66" i="17"/>
  <c r="J29" i="20" s="1"/>
  <c r="Y67" i="17"/>
  <c r="S63" i="20" s="1"/>
  <c r="V63" i="20" s="1"/>
  <c r="AC67" i="17"/>
  <c r="M63" i="20" s="1"/>
  <c r="Z68" i="17"/>
  <c r="T64" i="20" s="1"/>
  <c r="W64" i="20" s="1"/>
  <c r="AD68" i="17"/>
  <c r="O64" i="20" s="1"/>
  <c r="AA69" i="17"/>
  <c r="H65" i="20" s="1"/>
  <c r="X70" i="17"/>
  <c r="R66" i="20" s="1"/>
  <c r="U66" i="20" s="1"/>
  <c r="AB70" i="17"/>
  <c r="J66" i="20" s="1"/>
  <c r="AK10" i="17"/>
  <c r="AG12" i="17"/>
  <c r="AI13" i="17"/>
  <c r="AK14" i="17"/>
  <c r="AG16" i="17"/>
  <c r="AI17" i="17"/>
  <c r="AK18" i="17"/>
  <c r="AG20" i="17"/>
  <c r="AI21" i="17"/>
  <c r="AK22" i="17"/>
  <c r="AG24" i="17"/>
  <c r="AI25" i="17"/>
  <c r="AK26" i="17"/>
  <c r="AG28" i="17"/>
  <c r="AI29" i="17"/>
  <c r="AK30" i="17"/>
  <c r="AG32" i="17"/>
  <c r="AI33" i="17"/>
  <c r="AK34" i="17"/>
  <c r="AG36" i="17"/>
  <c r="AI37" i="17"/>
  <c r="AK38" i="17"/>
  <c r="AG40" i="17"/>
  <c r="AI41" i="17"/>
  <c r="AK42" i="17"/>
  <c r="AG44" i="17"/>
  <c r="AI45" i="17"/>
  <c r="AK46" i="17"/>
  <c r="AG48" i="17"/>
  <c r="AI49" i="17"/>
  <c r="AH50" i="17"/>
  <c r="AL50" i="17"/>
  <c r="AJ51" i="17"/>
  <c r="AH52" i="17"/>
  <c r="AL52" i="17"/>
  <c r="AJ53" i="17"/>
  <c r="AH54" i="17"/>
  <c r="AL54" i="17"/>
  <c r="AJ55" i="17"/>
  <c r="AH56" i="17"/>
  <c r="AL56" i="17"/>
  <c r="AJ57" i="17"/>
  <c r="AH58" i="17"/>
  <c r="AL58" i="17"/>
  <c r="AJ59" i="17"/>
  <c r="AH60" i="17"/>
  <c r="AL60" i="17"/>
  <c r="AJ61" i="17"/>
  <c r="AH62" i="17"/>
  <c r="AL62" i="17"/>
  <c r="AJ63" i="17"/>
  <c r="AH64" i="17"/>
  <c r="AL64" i="17"/>
  <c r="AJ65" i="17"/>
  <c r="AH66" i="17"/>
  <c r="AL66" i="17"/>
  <c r="AJ67" i="17"/>
  <c r="AH68" i="17"/>
  <c r="AL68" i="17"/>
  <c r="AJ69" i="17"/>
  <c r="AH70" i="17"/>
  <c r="AL70" i="17"/>
  <c r="AK9" i="17"/>
  <c r="Y10" i="17"/>
  <c r="S33" i="20" s="1"/>
  <c r="V33" i="20" s="1"/>
  <c r="AC10" i="17"/>
  <c r="M33" i="20" s="1"/>
  <c r="Z11" i="17"/>
  <c r="T31" i="20" s="1"/>
  <c r="W31" i="20" s="1"/>
  <c r="AD11" i="17"/>
  <c r="O31" i="20" s="1"/>
  <c r="AA12" i="17"/>
  <c r="H34" i="20" s="1"/>
  <c r="X13" i="17"/>
  <c r="R6" i="20" s="1"/>
  <c r="U6" i="20" s="1"/>
  <c r="AB13" i="17"/>
  <c r="J6" i="20" s="1"/>
  <c r="Y14" i="17"/>
  <c r="S32" i="20" s="1"/>
  <c r="V32" i="20" s="1"/>
  <c r="AC14" i="17"/>
  <c r="M32" i="20" s="1"/>
  <c r="Z15" i="17"/>
  <c r="T30" i="20" s="1"/>
  <c r="W30" i="20" s="1"/>
  <c r="AD15" i="17"/>
  <c r="O30" i="20" s="1"/>
  <c r="AA16" i="17"/>
  <c r="H46" i="20" s="1"/>
  <c r="X17" i="17"/>
  <c r="R36" i="20" s="1"/>
  <c r="U36" i="20" s="1"/>
  <c r="AB17" i="17"/>
  <c r="J36" i="20" s="1"/>
  <c r="Y18" i="17"/>
  <c r="S7" i="20" s="1"/>
  <c r="V7" i="20" s="1"/>
  <c r="AC18" i="17"/>
  <c r="M7" i="20" s="1"/>
  <c r="Z19" i="17"/>
  <c r="T37" i="20" s="1"/>
  <c r="W37" i="20" s="1"/>
  <c r="AD19" i="17"/>
  <c r="O37" i="20" s="1"/>
  <c r="AA20" i="17"/>
  <c r="H35" i="20" s="1"/>
  <c r="X21" i="17"/>
  <c r="R8" i="20" s="1"/>
  <c r="U8" i="20" s="1"/>
  <c r="AB21" i="17"/>
  <c r="J8" i="20" s="1"/>
  <c r="K8" i="20" s="1"/>
  <c r="Y22" i="17"/>
  <c r="S38" i="20" s="1"/>
  <c r="V38" i="20" s="1"/>
  <c r="AC22" i="17"/>
  <c r="M38" i="20" s="1"/>
  <c r="Z23" i="17"/>
  <c r="T39" i="20" s="1"/>
  <c r="W39" i="20" s="1"/>
  <c r="AD23" i="17"/>
  <c r="O39" i="20" s="1"/>
  <c r="AA24" i="17"/>
  <c r="H10" i="20" s="1"/>
  <c r="X25" i="17"/>
  <c r="R40" i="20" s="1"/>
  <c r="U40" i="20" s="1"/>
  <c r="AB25" i="17"/>
  <c r="J40" i="20" s="1"/>
  <c r="Y26" i="17"/>
  <c r="S11" i="20" s="1"/>
  <c r="V11" i="20" s="1"/>
  <c r="AC26" i="17"/>
  <c r="M11" i="20" s="1"/>
  <c r="Z27" i="17"/>
  <c r="T41" i="20" s="1"/>
  <c r="W41" i="20" s="1"/>
  <c r="AD27" i="17"/>
  <c r="O41" i="20" s="1"/>
  <c r="AA28" i="17"/>
  <c r="H42" i="20" s="1"/>
  <c r="X29" i="17"/>
  <c r="R43" i="20" s="1"/>
  <c r="U43" i="20" s="1"/>
  <c r="AB29" i="17"/>
  <c r="J43" i="20" s="1"/>
  <c r="Y30" i="17"/>
  <c r="S12" i="20" s="1"/>
  <c r="V12" i="20" s="1"/>
  <c r="AC30" i="17"/>
  <c r="M12" i="20" s="1"/>
  <c r="Z31" i="17"/>
  <c r="T44" i="20" s="1"/>
  <c r="W44" i="20" s="1"/>
  <c r="AD31" i="17"/>
  <c r="O44" i="20" s="1"/>
  <c r="AA32" i="17"/>
  <c r="H13" i="20" s="1"/>
  <c r="X33" i="17"/>
  <c r="R45" i="20" s="1"/>
  <c r="U45" i="20" s="1"/>
  <c r="AB33" i="17"/>
  <c r="J45" i="20" s="1"/>
  <c r="Y34" i="17"/>
  <c r="S15" i="20" s="1"/>
  <c r="V15" i="20" s="1"/>
  <c r="AC34" i="17"/>
  <c r="M15" i="20" s="1"/>
  <c r="Z35" i="17"/>
  <c r="T14" i="20" s="1"/>
  <c r="W14" i="20" s="1"/>
  <c r="AD35" i="17"/>
  <c r="O14" i="20" s="1"/>
  <c r="AA36" i="17"/>
  <c r="H47" i="20" s="1"/>
  <c r="X37" i="17"/>
  <c r="R16" i="20" s="1"/>
  <c r="U16" i="20" s="1"/>
  <c r="AB37" i="17"/>
  <c r="J16" i="20" s="1"/>
  <c r="Y38" i="17"/>
  <c r="S53" i="20" s="1"/>
  <c r="V53" i="20" s="1"/>
  <c r="AC38" i="17"/>
  <c r="M53" i="20" s="1"/>
  <c r="Z39" i="17"/>
  <c r="T54" i="20" s="1"/>
  <c r="W54" i="20" s="1"/>
  <c r="AD39" i="17"/>
  <c r="O54" i="20" s="1"/>
  <c r="AA40" i="17"/>
  <c r="H17" i="20" s="1"/>
  <c r="X41" i="17"/>
  <c r="R50" i="20" s="1"/>
  <c r="U50" i="20" s="1"/>
  <c r="AB41" i="17"/>
  <c r="J50" i="20" s="1"/>
  <c r="Y42" i="17"/>
  <c r="S49" i="20" s="1"/>
  <c r="V49" i="20" s="1"/>
  <c r="AC42" i="17"/>
  <c r="M49" i="20" s="1"/>
  <c r="Z43" i="17"/>
  <c r="T52" i="20" s="1"/>
  <c r="W52" i="20" s="1"/>
  <c r="AD43" i="17"/>
  <c r="O52" i="20" s="1"/>
  <c r="AA44" i="17"/>
  <c r="H51" i="20" s="1"/>
  <c r="X45" i="17"/>
  <c r="R19" i="20" s="1"/>
  <c r="U19" i="20" s="1"/>
  <c r="AB45" i="17"/>
  <c r="J19" i="20" s="1"/>
  <c r="Y46" i="17"/>
  <c r="S18" i="20" s="1"/>
  <c r="V18" i="20" s="1"/>
  <c r="AC46" i="17"/>
  <c r="M18" i="20" s="1"/>
  <c r="Z47" i="17"/>
  <c r="T57" i="20" s="1"/>
  <c r="W57" i="20" s="1"/>
  <c r="AD47" i="17"/>
  <c r="O57" i="20" s="1"/>
  <c r="AA48" i="17"/>
  <c r="H55" i="20" s="1"/>
  <c r="X49" i="17"/>
  <c r="R56" i="20" s="1"/>
  <c r="U56" i="20" s="1"/>
  <c r="AB49" i="17"/>
  <c r="J56" i="20" s="1"/>
  <c r="Y50" i="17"/>
  <c r="S20" i="20" s="1"/>
  <c r="V20" i="20" s="1"/>
  <c r="AC50" i="17"/>
  <c r="M20" i="20" s="1"/>
  <c r="Z51" i="17"/>
  <c r="T58" i="20" s="1"/>
  <c r="W58" i="20" s="1"/>
  <c r="AD51" i="17"/>
  <c r="O58" i="20" s="1"/>
  <c r="AA52" i="17"/>
  <c r="H21" i="20" s="1"/>
  <c r="X53" i="17"/>
  <c r="R22" i="20" s="1"/>
  <c r="U22" i="20" s="1"/>
  <c r="AB53" i="17"/>
  <c r="J22" i="20" s="1"/>
  <c r="Y54" i="17"/>
  <c r="S23" i="20" s="1"/>
  <c r="V23" i="20" s="1"/>
  <c r="AC54" i="17"/>
  <c r="M23" i="20" s="1"/>
  <c r="Z55" i="17"/>
  <c r="T24" i="20" s="1"/>
  <c r="W24" i="20" s="1"/>
  <c r="AD55" i="17"/>
  <c r="O24" i="20" s="1"/>
  <c r="AA56" i="17"/>
  <c r="H25" i="20" s="1"/>
  <c r="X57" i="17"/>
  <c r="R26" i="20" s="1"/>
  <c r="U26" i="20" s="1"/>
  <c r="AB57" i="17"/>
  <c r="J26" i="20" s="1"/>
  <c r="Y58" i="17"/>
  <c r="S9" i="20" s="1"/>
  <c r="V9" i="20" s="1"/>
  <c r="AC58" i="17"/>
  <c r="M9" i="20" s="1"/>
  <c r="Z59" i="17"/>
  <c r="T48" i="20" s="1"/>
  <c r="W48" i="20" s="1"/>
  <c r="AD59" i="17"/>
  <c r="O48" i="20" s="1"/>
  <c r="AA60" i="17"/>
  <c r="H59" i="20" s="1"/>
  <c r="X61" i="17"/>
  <c r="R27" i="20" s="1"/>
  <c r="U27" i="20" s="1"/>
  <c r="AB61" i="17"/>
  <c r="J27" i="20" s="1"/>
  <c r="Y62" i="17"/>
  <c r="S61" i="20" s="1"/>
  <c r="V61" i="20" s="1"/>
  <c r="AC62" i="17"/>
  <c r="M61" i="20" s="1"/>
  <c r="Z63" i="17"/>
  <c r="T60" i="20" s="1"/>
  <c r="W60" i="20" s="1"/>
  <c r="AD63" i="17"/>
  <c r="O60" i="20" s="1"/>
  <c r="AA64" i="17"/>
  <c r="H28" i="20" s="1"/>
  <c r="X65" i="17"/>
  <c r="R62" i="20" s="1"/>
  <c r="U62" i="20" s="1"/>
  <c r="AB65" i="17"/>
  <c r="J62" i="20" s="1"/>
  <c r="Y66" i="17"/>
  <c r="S29" i="20" s="1"/>
  <c r="V29" i="20" s="1"/>
  <c r="AC66" i="17"/>
  <c r="M29" i="20" s="1"/>
  <c r="Z67" i="17"/>
  <c r="T63" i="20" s="1"/>
  <c r="W63" i="20" s="1"/>
  <c r="AD67" i="17"/>
  <c r="O63" i="20" s="1"/>
  <c r="AA68" i="17"/>
  <c r="H64" i="20" s="1"/>
  <c r="X69" i="17"/>
  <c r="R65" i="20" s="1"/>
  <c r="U65" i="20" s="1"/>
  <c r="AB69" i="17"/>
  <c r="J65" i="20" s="1"/>
  <c r="Y70" i="17"/>
  <c r="S66" i="20" s="1"/>
  <c r="V66" i="20" s="1"/>
  <c r="AC70" i="17"/>
  <c r="M66" i="20" s="1"/>
  <c r="AL10" i="17"/>
  <c r="AH12" i="17"/>
  <c r="AJ13" i="17"/>
  <c r="AL14" i="17"/>
  <c r="AH16" i="17"/>
  <c r="AJ17" i="17"/>
  <c r="AL18" i="17"/>
  <c r="AH20" i="17"/>
  <c r="AJ21" i="17"/>
  <c r="AL22" i="17"/>
  <c r="AH24" i="17"/>
  <c r="AJ25" i="17"/>
  <c r="AL26" i="17"/>
  <c r="AH28" i="17"/>
  <c r="AJ29" i="17"/>
  <c r="AL30" i="17"/>
  <c r="AH32" i="17"/>
  <c r="AJ33" i="17"/>
  <c r="AL34" i="17"/>
  <c r="AH36" i="17"/>
  <c r="AJ37" i="17"/>
  <c r="AL38" i="17"/>
  <c r="AH40" i="17"/>
  <c r="AJ41" i="17"/>
  <c r="AL42" i="17"/>
  <c r="AH44" i="17"/>
  <c r="AJ45" i="17"/>
  <c r="AL46" i="17"/>
  <c r="AH48" i="17"/>
  <c r="AJ49" i="17"/>
  <c r="AI50" i="17"/>
  <c r="AG51" i="17"/>
  <c r="AK51" i="17"/>
  <c r="AI52" i="17"/>
  <c r="AG53" i="17"/>
  <c r="AK53" i="17"/>
  <c r="AI54" i="17"/>
  <c r="AG55" i="17"/>
  <c r="AK55" i="17"/>
  <c r="AI56" i="17"/>
  <c r="AG57" i="17"/>
  <c r="AK57" i="17"/>
  <c r="AI58" i="17"/>
  <c r="AG59" i="17"/>
  <c r="AK59" i="17"/>
  <c r="AI60" i="17"/>
  <c r="AG61" i="17"/>
  <c r="AK61" i="17"/>
  <c r="AI62" i="17"/>
  <c r="AG63" i="17"/>
  <c r="AK63" i="17"/>
  <c r="AI64" i="17"/>
  <c r="AG65" i="17"/>
  <c r="AK65" i="17"/>
  <c r="AI66" i="17"/>
  <c r="AG67" i="17"/>
  <c r="AK67" i="17"/>
  <c r="AI68" i="17"/>
  <c r="AG69" i="17"/>
  <c r="AK69" i="17"/>
  <c r="AI70" i="17"/>
  <c r="AH9" i="17"/>
  <c r="AH4" i="17" s="1"/>
  <c r="AL9" i="17"/>
  <c r="AL4" i="17" s="1"/>
  <c r="Z10" i="17"/>
  <c r="T33" i="20" s="1"/>
  <c r="W33" i="20" s="1"/>
  <c r="AD10" i="17"/>
  <c r="O33" i="20" s="1"/>
  <c r="AA11" i="17"/>
  <c r="H31" i="20" s="1"/>
  <c r="X12" i="17"/>
  <c r="R34" i="20" s="1"/>
  <c r="U34" i="20" s="1"/>
  <c r="AB12" i="17"/>
  <c r="J34" i="20" s="1"/>
  <c r="Y13" i="17"/>
  <c r="S6" i="20" s="1"/>
  <c r="V6" i="20" s="1"/>
  <c r="AC13" i="17"/>
  <c r="M6" i="20" s="1"/>
  <c r="Z14" i="17"/>
  <c r="T32" i="20" s="1"/>
  <c r="W32" i="20" s="1"/>
  <c r="AD14" i="17"/>
  <c r="O32" i="20" s="1"/>
  <c r="AA15" i="17"/>
  <c r="H30" i="20" s="1"/>
  <c r="X16" i="17"/>
  <c r="R46" i="20" s="1"/>
  <c r="U46" i="20" s="1"/>
  <c r="AB16" i="17"/>
  <c r="J46" i="20" s="1"/>
  <c r="Y17" i="17"/>
  <c r="S36" i="20" s="1"/>
  <c r="V36" i="20" s="1"/>
  <c r="AC17" i="17"/>
  <c r="M36" i="20" s="1"/>
  <c r="Z18" i="17"/>
  <c r="T7" i="20" s="1"/>
  <c r="W7" i="20" s="1"/>
  <c r="AD18" i="17"/>
  <c r="O7" i="20" s="1"/>
  <c r="AA19" i="17"/>
  <c r="H37" i="20" s="1"/>
  <c r="X20" i="17"/>
  <c r="R35" i="20" s="1"/>
  <c r="U35" i="20" s="1"/>
  <c r="AB20" i="17"/>
  <c r="J35" i="20" s="1"/>
  <c r="Y21" i="17"/>
  <c r="S8" i="20" s="1"/>
  <c r="V8" i="20" s="1"/>
  <c r="AC21" i="17"/>
  <c r="M8" i="20" s="1"/>
  <c r="N8" i="20" s="1"/>
  <c r="Z22" i="17"/>
  <c r="T38" i="20" s="1"/>
  <c r="W38" i="20" s="1"/>
  <c r="AD22" i="17"/>
  <c r="O38" i="20" s="1"/>
  <c r="AA23" i="17"/>
  <c r="H39" i="20" s="1"/>
  <c r="X24" i="17"/>
  <c r="R10" i="20" s="1"/>
  <c r="U10" i="20" s="1"/>
  <c r="AB24" i="17"/>
  <c r="J10" i="20" s="1"/>
  <c r="Y25" i="17"/>
  <c r="S40" i="20" s="1"/>
  <c r="V40" i="20" s="1"/>
  <c r="AC25" i="17"/>
  <c r="M40" i="20" s="1"/>
  <c r="Z26" i="17"/>
  <c r="T11" i="20" s="1"/>
  <c r="W11" i="20" s="1"/>
  <c r="AD26" i="17"/>
  <c r="O11" i="20" s="1"/>
  <c r="AA27" i="17"/>
  <c r="H41" i="20" s="1"/>
  <c r="X28" i="17"/>
  <c r="R42" i="20" s="1"/>
  <c r="U42" i="20" s="1"/>
  <c r="AB28" i="17"/>
  <c r="J42" i="20" s="1"/>
  <c r="Y29" i="17"/>
  <c r="S43" i="20" s="1"/>
  <c r="V43" i="20" s="1"/>
  <c r="AC29" i="17"/>
  <c r="M43" i="20" s="1"/>
  <c r="Z30" i="17"/>
  <c r="T12" i="20" s="1"/>
  <c r="W12" i="20" s="1"/>
  <c r="AD30" i="17"/>
  <c r="O12" i="20" s="1"/>
  <c r="AA31" i="17"/>
  <c r="H44" i="20" s="1"/>
  <c r="X32" i="17"/>
  <c r="R13" i="20" s="1"/>
  <c r="U13" i="20" s="1"/>
  <c r="AB32" i="17"/>
  <c r="J13" i="20" s="1"/>
  <c r="Y33" i="17"/>
  <c r="S45" i="20" s="1"/>
  <c r="V45" i="20" s="1"/>
  <c r="AC33" i="17"/>
  <c r="M45" i="20" s="1"/>
  <c r="Z34" i="17"/>
  <c r="T15" i="20" s="1"/>
  <c r="W15" i="20" s="1"/>
  <c r="AD34" i="17"/>
  <c r="O15" i="20" s="1"/>
  <c r="AA35" i="17"/>
  <c r="H14" i="20" s="1"/>
  <c r="X36" i="17"/>
  <c r="R47" i="20" s="1"/>
  <c r="U47" i="20" s="1"/>
  <c r="AB36" i="17"/>
  <c r="J47" i="20" s="1"/>
  <c r="Y37" i="17"/>
  <c r="S16" i="20" s="1"/>
  <c r="V16" i="20" s="1"/>
  <c r="AC37" i="17"/>
  <c r="M16" i="20" s="1"/>
  <c r="Z38" i="17"/>
  <c r="T53" i="20" s="1"/>
  <c r="W53" i="20" s="1"/>
  <c r="AD38" i="17"/>
  <c r="O53" i="20" s="1"/>
  <c r="AA39" i="17"/>
  <c r="H54" i="20" s="1"/>
  <c r="X40" i="17"/>
  <c r="R17" i="20" s="1"/>
  <c r="U17" i="20" s="1"/>
  <c r="AB40" i="17"/>
  <c r="J17" i="20" s="1"/>
  <c r="Y41" i="17"/>
  <c r="S50" i="20" s="1"/>
  <c r="V50" i="20" s="1"/>
  <c r="AC41" i="17"/>
  <c r="M50" i="20" s="1"/>
  <c r="N50" i="20" s="1"/>
  <c r="Z42" i="17"/>
  <c r="T49" i="20" s="1"/>
  <c r="W49" i="20" s="1"/>
  <c r="AD42" i="17"/>
  <c r="O49" i="20" s="1"/>
  <c r="AA43" i="17"/>
  <c r="H52" i="20" s="1"/>
  <c r="X44" i="17"/>
  <c r="R51" i="20" s="1"/>
  <c r="U51" i="20" s="1"/>
  <c r="AB44" i="17"/>
  <c r="J51" i="20" s="1"/>
  <c r="Y45" i="17"/>
  <c r="S19" i="20" s="1"/>
  <c r="V19" i="20" s="1"/>
  <c r="AC45" i="17"/>
  <c r="M19" i="20" s="1"/>
  <c r="Z46" i="17"/>
  <c r="T18" i="20" s="1"/>
  <c r="W18" i="20" s="1"/>
  <c r="AD46" i="17"/>
  <c r="O18" i="20" s="1"/>
  <c r="AA47" i="17"/>
  <c r="H57" i="20" s="1"/>
  <c r="X48" i="17"/>
  <c r="R55" i="20" s="1"/>
  <c r="U55" i="20" s="1"/>
  <c r="AB48" i="17"/>
  <c r="J55" i="20" s="1"/>
  <c r="Y49" i="17"/>
  <c r="S56" i="20" s="1"/>
  <c r="V56" i="20" s="1"/>
  <c r="AC49" i="17"/>
  <c r="M56" i="20" s="1"/>
  <c r="Z50" i="17"/>
  <c r="T20" i="20" s="1"/>
  <c r="W20" i="20" s="1"/>
  <c r="AD50" i="17"/>
  <c r="O20" i="20" s="1"/>
  <c r="AA51" i="17"/>
  <c r="H58" i="20" s="1"/>
  <c r="X52" i="17"/>
  <c r="R21" i="20" s="1"/>
  <c r="U21" i="20" s="1"/>
  <c r="AB52" i="17"/>
  <c r="J21" i="20" s="1"/>
  <c r="Y53" i="17"/>
  <c r="S22" i="20" s="1"/>
  <c r="V22" i="20" s="1"/>
  <c r="AC53" i="17"/>
  <c r="M22" i="20" s="1"/>
  <c r="Z54" i="17"/>
  <c r="T23" i="20" s="1"/>
  <c r="W23" i="20" s="1"/>
  <c r="AD54" i="17"/>
  <c r="O23" i="20" s="1"/>
  <c r="AA55" i="17"/>
  <c r="H24" i="20" s="1"/>
  <c r="X56" i="17"/>
  <c r="R25" i="20" s="1"/>
  <c r="U25" i="20" s="1"/>
  <c r="AB56" i="17"/>
  <c r="J25" i="20" s="1"/>
  <c r="Y57" i="17"/>
  <c r="S26" i="20" s="1"/>
  <c r="V26" i="20" s="1"/>
  <c r="AC57" i="17"/>
  <c r="M26" i="20" s="1"/>
  <c r="Z58" i="17"/>
  <c r="T9" i="20" s="1"/>
  <c r="W9" i="20" s="1"/>
  <c r="AD58" i="17"/>
  <c r="O9" i="20" s="1"/>
  <c r="AA59" i="17"/>
  <c r="H48" i="20" s="1"/>
  <c r="X60" i="17"/>
  <c r="R59" i="20" s="1"/>
  <c r="U59" i="20" s="1"/>
  <c r="AB60" i="17"/>
  <c r="J59" i="20" s="1"/>
  <c r="Y61" i="17"/>
  <c r="S27" i="20" s="1"/>
  <c r="V27" i="20" s="1"/>
  <c r="AC61" i="17"/>
  <c r="M27" i="20" s="1"/>
  <c r="Z62" i="17"/>
  <c r="T61" i="20" s="1"/>
  <c r="W61" i="20" s="1"/>
  <c r="AD62" i="17"/>
  <c r="O61" i="20" s="1"/>
  <c r="AA63" i="17"/>
  <c r="H60" i="20" s="1"/>
  <c r="X64" i="17"/>
  <c r="R28" i="20" s="1"/>
  <c r="U28" i="20" s="1"/>
  <c r="AB64" i="17"/>
  <c r="J28" i="20" s="1"/>
  <c r="Y65" i="17"/>
  <c r="S62" i="20" s="1"/>
  <c r="V62" i="20" s="1"/>
  <c r="AC65" i="17"/>
  <c r="M62" i="20" s="1"/>
  <c r="Z66" i="17"/>
  <c r="T29" i="20" s="1"/>
  <c r="W29" i="20" s="1"/>
  <c r="AD66" i="17"/>
  <c r="O29" i="20" s="1"/>
  <c r="AA67" i="17"/>
  <c r="H63" i="20" s="1"/>
  <c r="X68" i="17"/>
  <c r="R64" i="20" s="1"/>
  <c r="U64" i="20" s="1"/>
  <c r="AB68" i="17"/>
  <c r="J64" i="20" s="1"/>
  <c r="Y69" i="17"/>
  <c r="S65" i="20" s="1"/>
  <c r="V65" i="20" s="1"/>
  <c r="AC69" i="17"/>
  <c r="M65" i="20" s="1"/>
  <c r="Z70" i="17"/>
  <c r="T66" i="20" s="1"/>
  <c r="W66" i="20" s="1"/>
  <c r="AD70" i="17"/>
  <c r="O66" i="20" s="1"/>
  <c r="AI11" i="17"/>
  <c r="AK12" i="17"/>
  <c r="AG14" i="17"/>
  <c r="AI15" i="17"/>
  <c r="AK16" i="17"/>
  <c r="AG18" i="17"/>
  <c r="AI19" i="17"/>
  <c r="AK20" i="17"/>
  <c r="AG22" i="17"/>
  <c r="AI23" i="17"/>
  <c r="AK24" i="17"/>
  <c r="AG26" i="17"/>
  <c r="AI27" i="17"/>
  <c r="AK28" i="17"/>
  <c r="AG30" i="17"/>
  <c r="AI31" i="17"/>
  <c r="AK32" i="17"/>
  <c r="AG34" i="17"/>
  <c r="AI35" i="17"/>
  <c r="AK36" i="17"/>
  <c r="AG38" i="17"/>
  <c r="AI39" i="17"/>
  <c r="AK40" i="17"/>
  <c r="AG42" i="17"/>
  <c r="AI43" i="17"/>
  <c r="AK44" i="17"/>
  <c r="AG46" i="17"/>
  <c r="AI47" i="17"/>
  <c r="AK48" i="17"/>
  <c r="AL49" i="17"/>
  <c r="AJ50" i="17"/>
  <c r="AH51" i="17"/>
  <c r="AL51" i="17"/>
  <c r="AJ52" i="17"/>
  <c r="AH53" i="17"/>
  <c r="AL53" i="17"/>
  <c r="AJ54" i="17"/>
  <c r="AH55" i="17"/>
  <c r="AL55" i="17"/>
  <c r="AJ56" i="17"/>
  <c r="AH57" i="17"/>
  <c r="AL57" i="17"/>
  <c r="AJ58" i="17"/>
  <c r="AH59" i="17"/>
  <c r="AL59" i="17"/>
  <c r="AJ60" i="17"/>
  <c r="AH61" i="17"/>
  <c r="AL61" i="17"/>
  <c r="AJ62" i="17"/>
  <c r="AH63" i="17"/>
  <c r="AL63" i="17"/>
  <c r="AJ64" i="17"/>
  <c r="AH65" i="17"/>
  <c r="AL65" i="17"/>
  <c r="AJ66" i="17"/>
  <c r="AH67" i="17"/>
  <c r="AL67" i="17"/>
  <c r="AJ68" i="17"/>
  <c r="AH69" i="17"/>
  <c r="AL69" i="17"/>
  <c r="AJ70" i="17"/>
  <c r="AI9" i="17"/>
  <c r="AG9" i="17"/>
  <c r="AG4" i="17" s="1"/>
  <c r="AA10" i="17"/>
  <c r="H33" i="20" s="1"/>
  <c r="X11" i="17"/>
  <c r="R31" i="20" s="1"/>
  <c r="U31" i="20" s="1"/>
  <c r="AB11" i="17"/>
  <c r="J31" i="20" s="1"/>
  <c r="Y12" i="17"/>
  <c r="S34" i="20" s="1"/>
  <c r="V34" i="20" s="1"/>
  <c r="AC12" i="17"/>
  <c r="M34" i="20" s="1"/>
  <c r="Z13" i="17"/>
  <c r="T6" i="20" s="1"/>
  <c r="W6" i="20" s="1"/>
  <c r="AD13" i="17"/>
  <c r="O6" i="20" s="1"/>
  <c r="AA14" i="17"/>
  <c r="H32" i="20" s="1"/>
  <c r="X15" i="17"/>
  <c r="R30" i="20" s="1"/>
  <c r="U30" i="20" s="1"/>
  <c r="AB15" i="17"/>
  <c r="J30" i="20" s="1"/>
  <c r="Y16" i="17"/>
  <c r="S46" i="20" s="1"/>
  <c r="V46" i="20" s="1"/>
  <c r="AC16" i="17"/>
  <c r="M46" i="20" s="1"/>
  <c r="Z17" i="17"/>
  <c r="T36" i="20" s="1"/>
  <c r="W36" i="20" s="1"/>
  <c r="AD17" i="17"/>
  <c r="O36" i="20" s="1"/>
  <c r="AA18" i="17"/>
  <c r="H7" i="20" s="1"/>
  <c r="X19" i="17"/>
  <c r="R37" i="20" s="1"/>
  <c r="U37" i="20" s="1"/>
  <c r="AB19" i="17"/>
  <c r="J37" i="20" s="1"/>
  <c r="Y20" i="17"/>
  <c r="S35" i="20" s="1"/>
  <c r="V35" i="20" s="1"/>
  <c r="AC20" i="17"/>
  <c r="M35" i="20" s="1"/>
  <c r="Z21" i="17"/>
  <c r="T8" i="20" s="1"/>
  <c r="W8" i="20" s="1"/>
  <c r="AD21" i="17"/>
  <c r="O8" i="20" s="1"/>
  <c r="AA22" i="17"/>
  <c r="H38" i="20" s="1"/>
  <c r="X23" i="17"/>
  <c r="R39" i="20" s="1"/>
  <c r="U39" i="20" s="1"/>
  <c r="AB23" i="17"/>
  <c r="J39" i="20" s="1"/>
  <c r="Y24" i="17"/>
  <c r="S10" i="20" s="1"/>
  <c r="V10" i="20" s="1"/>
  <c r="AC24" i="17"/>
  <c r="M10" i="20" s="1"/>
  <c r="Z25" i="17"/>
  <c r="T40" i="20" s="1"/>
  <c r="W40" i="20" s="1"/>
  <c r="AD25" i="17"/>
  <c r="O40" i="20" s="1"/>
  <c r="AA26" i="17"/>
  <c r="H11" i="20" s="1"/>
  <c r="X27" i="17"/>
  <c r="R41" i="20" s="1"/>
  <c r="U41" i="20" s="1"/>
  <c r="AB27" i="17"/>
  <c r="J41" i="20" s="1"/>
  <c r="Y28" i="17"/>
  <c r="S42" i="20" s="1"/>
  <c r="V42" i="20" s="1"/>
  <c r="AC28" i="17"/>
  <c r="M42" i="20" s="1"/>
  <c r="Z29" i="17"/>
  <c r="T43" i="20" s="1"/>
  <c r="W43" i="20" s="1"/>
  <c r="AD29" i="17"/>
  <c r="O43" i="20" s="1"/>
  <c r="AA30" i="17"/>
  <c r="H12" i="20" s="1"/>
  <c r="X31" i="17"/>
  <c r="R44" i="20" s="1"/>
  <c r="U44" i="20" s="1"/>
  <c r="AB31" i="17"/>
  <c r="J44" i="20" s="1"/>
  <c r="Y32" i="17"/>
  <c r="S13" i="20" s="1"/>
  <c r="V13" i="20" s="1"/>
  <c r="AC32" i="17"/>
  <c r="M13" i="20" s="1"/>
  <c r="Z33" i="17"/>
  <c r="T45" i="20" s="1"/>
  <c r="W45" i="20" s="1"/>
  <c r="AD33" i="17"/>
  <c r="O45" i="20" s="1"/>
  <c r="AA34" i="17"/>
  <c r="H15" i="20" s="1"/>
  <c r="X35" i="17"/>
  <c r="R14" i="20" s="1"/>
  <c r="U14" i="20" s="1"/>
  <c r="AB35" i="17"/>
  <c r="J14" i="20" s="1"/>
  <c r="Y36" i="17"/>
  <c r="S47" i="20" s="1"/>
  <c r="V47" i="20" s="1"/>
  <c r="AC36" i="17"/>
  <c r="M47" i="20" s="1"/>
  <c r="Z37" i="17"/>
  <c r="T16" i="20" s="1"/>
  <c r="W16" i="20" s="1"/>
  <c r="AD37" i="17"/>
  <c r="O16" i="20" s="1"/>
  <c r="AA38" i="17"/>
  <c r="H53" i="20" s="1"/>
  <c r="X39" i="17"/>
  <c r="R54" i="20" s="1"/>
  <c r="U54" i="20" s="1"/>
  <c r="AB39" i="17"/>
  <c r="J54" i="20" s="1"/>
  <c r="Y40" i="17"/>
  <c r="S17" i="20" s="1"/>
  <c r="V17" i="20" s="1"/>
  <c r="AC40" i="17"/>
  <c r="M17" i="20" s="1"/>
  <c r="Z41" i="17"/>
  <c r="T50" i="20" s="1"/>
  <c r="W50" i="20" s="1"/>
  <c r="AD41" i="17"/>
  <c r="O50" i="20" s="1"/>
  <c r="P50" i="20" s="1"/>
  <c r="AA42" i="17"/>
  <c r="H49" i="20" s="1"/>
  <c r="X43" i="17"/>
  <c r="R52" i="20" s="1"/>
  <c r="U52" i="20" s="1"/>
  <c r="AB43" i="17"/>
  <c r="J52" i="20" s="1"/>
  <c r="Y44" i="17"/>
  <c r="S51" i="20" s="1"/>
  <c r="V51" i="20" s="1"/>
  <c r="AC44" i="17"/>
  <c r="M51" i="20" s="1"/>
  <c r="Z45" i="17"/>
  <c r="T19" i="20" s="1"/>
  <c r="W19" i="20" s="1"/>
  <c r="AD45" i="17"/>
  <c r="O19" i="20" s="1"/>
  <c r="AA46" i="17"/>
  <c r="H18" i="20" s="1"/>
  <c r="I18" i="20" s="1"/>
  <c r="X47" i="17"/>
  <c r="R57" i="20" s="1"/>
  <c r="U57" i="20" s="1"/>
  <c r="AB47" i="17"/>
  <c r="J57" i="20" s="1"/>
  <c r="Y48" i="17"/>
  <c r="S55" i="20" s="1"/>
  <c r="V55" i="20" s="1"/>
  <c r="AC48" i="17"/>
  <c r="M55" i="20" s="1"/>
  <c r="Z49" i="17"/>
  <c r="T56" i="20" s="1"/>
  <c r="W56" i="20" s="1"/>
  <c r="AD49" i="17"/>
  <c r="O56" i="20" s="1"/>
  <c r="AA50" i="17"/>
  <c r="H20" i="20" s="1"/>
  <c r="X51" i="17"/>
  <c r="R58" i="20" s="1"/>
  <c r="U58" i="20" s="1"/>
  <c r="AB51" i="17"/>
  <c r="J58" i="20" s="1"/>
  <c r="Y52" i="17"/>
  <c r="S21" i="20" s="1"/>
  <c r="V21" i="20" s="1"/>
  <c r="AC52" i="17"/>
  <c r="M21" i="20" s="1"/>
  <c r="Z53" i="17"/>
  <c r="T22" i="20" s="1"/>
  <c r="W22" i="20" s="1"/>
  <c r="AD53" i="17"/>
  <c r="O22" i="20" s="1"/>
  <c r="AA54" i="17"/>
  <c r="H23" i="20" s="1"/>
  <c r="X55" i="17"/>
  <c r="R24" i="20" s="1"/>
  <c r="U24" i="20" s="1"/>
  <c r="AB55" i="17"/>
  <c r="J24" i="20" s="1"/>
  <c r="Y56" i="17"/>
  <c r="S25" i="20" s="1"/>
  <c r="V25" i="20" s="1"/>
  <c r="AC56" i="17"/>
  <c r="M25" i="20" s="1"/>
  <c r="Z57" i="17"/>
  <c r="T26" i="20" s="1"/>
  <c r="W26" i="20" s="1"/>
  <c r="AD57" i="17"/>
  <c r="O26" i="20" s="1"/>
  <c r="AA58" i="17"/>
  <c r="H9" i="20" s="1"/>
  <c r="X59" i="17"/>
  <c r="R48" i="20" s="1"/>
  <c r="U48" i="20" s="1"/>
  <c r="AB59" i="17"/>
  <c r="J48" i="20" s="1"/>
  <c r="Y60" i="17"/>
  <c r="S59" i="20" s="1"/>
  <c r="V59" i="20" s="1"/>
  <c r="AC60" i="17"/>
  <c r="M59" i="20" s="1"/>
  <c r="Z61" i="17"/>
  <c r="T27" i="20" s="1"/>
  <c r="W27" i="20" s="1"/>
  <c r="AD61" i="17"/>
  <c r="O27" i="20" s="1"/>
  <c r="AA62" i="17"/>
  <c r="H61" i="20" s="1"/>
  <c r="X63" i="17"/>
  <c r="R60" i="20" s="1"/>
  <c r="U60" i="20" s="1"/>
  <c r="AB63" i="17"/>
  <c r="J60" i="20" s="1"/>
  <c r="Y64" i="17"/>
  <c r="S28" i="20" s="1"/>
  <c r="V28" i="20" s="1"/>
  <c r="AC64" i="17"/>
  <c r="M28" i="20" s="1"/>
  <c r="Z65" i="17"/>
  <c r="T62" i="20" s="1"/>
  <c r="W62" i="20" s="1"/>
  <c r="AD65" i="17"/>
  <c r="O62" i="20" s="1"/>
  <c r="AA66" i="17"/>
  <c r="H29" i="20" s="1"/>
  <c r="I29" i="20" s="1"/>
  <c r="X67" i="17"/>
  <c r="R63" i="20" s="1"/>
  <c r="U63" i="20" s="1"/>
  <c r="AB67" i="17"/>
  <c r="J63" i="20" s="1"/>
  <c r="Y68" i="17"/>
  <c r="S64" i="20" s="1"/>
  <c r="V64" i="20" s="1"/>
  <c r="AC68" i="17"/>
  <c r="M64" i="20" s="1"/>
  <c r="Z69" i="17"/>
  <c r="T65" i="20" s="1"/>
  <c r="W65" i="20" s="1"/>
  <c r="AD69" i="17"/>
  <c r="O65" i="20" s="1"/>
  <c r="AA70" i="17"/>
  <c r="H66" i="20" s="1"/>
  <c r="Y9" i="17"/>
  <c r="K9" i="17"/>
  <c r="K70" i="17"/>
  <c r="N68" i="18" s="1"/>
  <c r="Q68" i="18" s="1"/>
  <c r="L69" i="17"/>
  <c r="O67" i="18" s="1"/>
  <c r="R67" i="18" s="1"/>
  <c r="M68" i="17"/>
  <c r="H66" i="18" s="1"/>
  <c r="N67" i="17"/>
  <c r="J65" i="18" s="1"/>
  <c r="J67" i="17"/>
  <c r="M65" i="18" s="1"/>
  <c r="P65" i="18" s="1"/>
  <c r="K66" i="17"/>
  <c r="N31" i="18" s="1"/>
  <c r="Q31" i="18" s="1"/>
  <c r="L65" i="17"/>
  <c r="O64" i="18" s="1"/>
  <c r="R64" i="18" s="1"/>
  <c r="M64" i="17"/>
  <c r="H30" i="18" s="1"/>
  <c r="N63" i="17"/>
  <c r="J62" i="18" s="1"/>
  <c r="J63" i="17"/>
  <c r="M62" i="18" s="1"/>
  <c r="P62" i="18" s="1"/>
  <c r="K62" i="17"/>
  <c r="N63" i="18" s="1"/>
  <c r="Q63" i="18" s="1"/>
  <c r="L61" i="17"/>
  <c r="O29" i="18" s="1"/>
  <c r="R29" i="18" s="1"/>
  <c r="M60" i="17"/>
  <c r="H61" i="18" s="1"/>
  <c r="N59" i="17"/>
  <c r="J50" i="18" s="1"/>
  <c r="J59" i="17"/>
  <c r="M50" i="18" s="1"/>
  <c r="P50" i="18" s="1"/>
  <c r="K58" i="17"/>
  <c r="N11" i="18" s="1"/>
  <c r="Q11" i="18" s="1"/>
  <c r="L57" i="17"/>
  <c r="M56" i="17"/>
  <c r="H27" i="18" s="1"/>
  <c r="N55" i="17"/>
  <c r="J26" i="18" s="1"/>
  <c r="K26" i="18" s="1"/>
  <c r="J55" i="17"/>
  <c r="M26" i="18" s="1"/>
  <c r="P26" i="18" s="1"/>
  <c r="K54" i="17"/>
  <c r="N25" i="18" s="1"/>
  <c r="Q25" i="18" s="1"/>
  <c r="L53" i="17"/>
  <c r="O24" i="18" s="1"/>
  <c r="R24" i="18" s="1"/>
  <c r="M52" i="17"/>
  <c r="H23" i="18" s="1"/>
  <c r="N51" i="17"/>
  <c r="J60" i="18" s="1"/>
  <c r="J51" i="17"/>
  <c r="M60" i="18" s="1"/>
  <c r="P60" i="18" s="1"/>
  <c r="K50" i="17"/>
  <c r="N22" i="18" s="1"/>
  <c r="Q22" i="18" s="1"/>
  <c r="L49" i="17"/>
  <c r="O58" i="18" s="1"/>
  <c r="R58" i="18" s="1"/>
  <c r="M48" i="17"/>
  <c r="H57" i="18" s="1"/>
  <c r="I57" i="18" s="1"/>
  <c r="N47" i="17"/>
  <c r="J59" i="18" s="1"/>
  <c r="J47" i="17"/>
  <c r="M59" i="18" s="1"/>
  <c r="P59" i="18" s="1"/>
  <c r="K46" i="17"/>
  <c r="N20" i="18" s="1"/>
  <c r="Q20" i="18" s="1"/>
  <c r="L45" i="17"/>
  <c r="O21" i="18" s="1"/>
  <c r="R21" i="18" s="1"/>
  <c r="M44" i="17"/>
  <c r="H53" i="18" s="1"/>
  <c r="N43" i="17"/>
  <c r="J54" i="18" s="1"/>
  <c r="J43" i="17"/>
  <c r="M54" i="18" s="1"/>
  <c r="P54" i="18" s="1"/>
  <c r="K42" i="17"/>
  <c r="N51" i="18" s="1"/>
  <c r="Q51" i="18" s="1"/>
  <c r="L41" i="17"/>
  <c r="O52" i="18" s="1"/>
  <c r="R52" i="18" s="1"/>
  <c r="M40" i="17"/>
  <c r="H19" i="18" s="1"/>
  <c r="I19" i="18" s="1"/>
  <c r="N39" i="17"/>
  <c r="J56" i="18" s="1"/>
  <c r="J39" i="17"/>
  <c r="M56" i="18" s="1"/>
  <c r="P56" i="18" s="1"/>
  <c r="K38" i="17"/>
  <c r="N55" i="18" s="1"/>
  <c r="Q55" i="18" s="1"/>
  <c r="L37" i="17"/>
  <c r="O18" i="18" s="1"/>
  <c r="R18" i="18" s="1"/>
  <c r="M36" i="17"/>
  <c r="H49" i="18" s="1"/>
  <c r="I49" i="18" s="1"/>
  <c r="N35" i="17"/>
  <c r="J16" i="18" s="1"/>
  <c r="J35" i="17"/>
  <c r="M16" i="18" s="1"/>
  <c r="P16" i="18" s="1"/>
  <c r="K34" i="17"/>
  <c r="N17" i="18" s="1"/>
  <c r="Q17" i="18" s="1"/>
  <c r="L33" i="17"/>
  <c r="O47" i="18" s="1"/>
  <c r="R47" i="18" s="1"/>
  <c r="M32" i="17"/>
  <c r="H15" i="18" s="1"/>
  <c r="I15" i="18" s="1"/>
  <c r="N31" i="17"/>
  <c r="J46" i="18" s="1"/>
  <c r="J31" i="17"/>
  <c r="M46" i="18" s="1"/>
  <c r="P46" i="18" s="1"/>
  <c r="K30" i="17"/>
  <c r="N14" i="18" s="1"/>
  <c r="Q14" i="18" s="1"/>
  <c r="L29" i="17"/>
  <c r="O45" i="18" s="1"/>
  <c r="R45" i="18" s="1"/>
  <c r="M28" i="17"/>
  <c r="H44" i="18" s="1"/>
  <c r="I44" i="18" s="1"/>
  <c r="N27" i="17"/>
  <c r="J43" i="18" s="1"/>
  <c r="J27" i="17"/>
  <c r="M43" i="18" s="1"/>
  <c r="P43" i="18" s="1"/>
  <c r="K26" i="17"/>
  <c r="N13" i="18" s="1"/>
  <c r="Q13" i="18" s="1"/>
  <c r="L25" i="17"/>
  <c r="O42" i="18" s="1"/>
  <c r="R42" i="18" s="1"/>
  <c r="M24" i="17"/>
  <c r="H12" i="18" s="1"/>
  <c r="N23" i="17"/>
  <c r="J41" i="18" s="1"/>
  <c r="J23" i="17"/>
  <c r="M41" i="18" s="1"/>
  <c r="P41" i="18" s="1"/>
  <c r="K22" i="17"/>
  <c r="N40" i="18" s="1"/>
  <c r="Q40" i="18" s="1"/>
  <c r="L21" i="17"/>
  <c r="O10" i="18" s="1"/>
  <c r="R10" i="18" s="1"/>
  <c r="M20" i="17"/>
  <c r="H37" i="18" s="1"/>
  <c r="N19" i="17"/>
  <c r="J39" i="18" s="1"/>
  <c r="J19" i="17"/>
  <c r="M39" i="18" s="1"/>
  <c r="P39" i="18" s="1"/>
  <c r="K18" i="17"/>
  <c r="N9" i="18" s="1"/>
  <c r="Q9" i="18" s="1"/>
  <c r="L17" i="17"/>
  <c r="O38" i="18" s="1"/>
  <c r="R38" i="18" s="1"/>
  <c r="M16" i="17"/>
  <c r="H48" i="18" s="1"/>
  <c r="N15" i="17"/>
  <c r="J32" i="18" s="1"/>
  <c r="K32" i="18" s="1"/>
  <c r="J15" i="17"/>
  <c r="M32" i="18" s="1"/>
  <c r="P32" i="18" s="1"/>
  <c r="K14" i="17"/>
  <c r="N34" i="18" s="1"/>
  <c r="Q34" i="18" s="1"/>
  <c r="L13" i="17"/>
  <c r="O8" i="18" s="1"/>
  <c r="R8" i="18" s="1"/>
  <c r="M12" i="17"/>
  <c r="H36" i="18" s="1"/>
  <c r="N11" i="17"/>
  <c r="J33" i="18" s="1"/>
  <c r="J11" i="17"/>
  <c r="M33" i="18" s="1"/>
  <c r="P33" i="18" s="1"/>
  <c r="K10" i="17"/>
  <c r="N35" i="18" s="1"/>
  <c r="Q35" i="18" s="1"/>
  <c r="T9" i="17"/>
  <c r="T70" i="17"/>
  <c r="H66" i="19" s="1"/>
  <c r="U69" i="17"/>
  <c r="J65" i="19" s="1"/>
  <c r="Q69" i="17"/>
  <c r="M65" i="19" s="1"/>
  <c r="P65" i="19" s="1"/>
  <c r="R68" i="17"/>
  <c r="N64" i="19" s="1"/>
  <c r="Q64" i="19" s="1"/>
  <c r="S67" i="17"/>
  <c r="O63" i="19" s="1"/>
  <c r="R63" i="19" s="1"/>
  <c r="T66" i="17"/>
  <c r="H29" i="19" s="1"/>
  <c r="U65" i="17"/>
  <c r="J62" i="19" s="1"/>
  <c r="Q65" i="17"/>
  <c r="M62" i="19" s="1"/>
  <c r="P62" i="19" s="1"/>
  <c r="R64" i="17"/>
  <c r="N28" i="19" s="1"/>
  <c r="Q28" i="19" s="1"/>
  <c r="S63" i="17"/>
  <c r="O60" i="19" s="1"/>
  <c r="R60" i="19" s="1"/>
  <c r="T62" i="17"/>
  <c r="H61" i="19" s="1"/>
  <c r="U61" i="17"/>
  <c r="J27" i="19" s="1"/>
  <c r="Q61" i="17"/>
  <c r="M27" i="19" s="1"/>
  <c r="P27" i="19" s="1"/>
  <c r="R60" i="17"/>
  <c r="N59" i="19" s="1"/>
  <c r="Q59" i="19" s="1"/>
  <c r="S59" i="17"/>
  <c r="O48" i="19" s="1"/>
  <c r="R48" i="19" s="1"/>
  <c r="T58" i="17"/>
  <c r="H9" i="19" s="1"/>
  <c r="U57" i="17"/>
  <c r="J26" i="19" s="1"/>
  <c r="Q57" i="17"/>
  <c r="M26" i="19" s="1"/>
  <c r="P26" i="19" s="1"/>
  <c r="R56" i="17"/>
  <c r="N25" i="19" s="1"/>
  <c r="Q25" i="19" s="1"/>
  <c r="S55" i="17"/>
  <c r="O24" i="19" s="1"/>
  <c r="R24" i="19" s="1"/>
  <c r="T54" i="17"/>
  <c r="H23" i="19" s="1"/>
  <c r="U53" i="17"/>
  <c r="J22" i="19" s="1"/>
  <c r="Q53" i="17"/>
  <c r="M22" i="19" s="1"/>
  <c r="P22" i="19" s="1"/>
  <c r="R52" i="17"/>
  <c r="N21" i="19" s="1"/>
  <c r="Q21" i="19" s="1"/>
  <c r="S51" i="17"/>
  <c r="O58" i="19" s="1"/>
  <c r="R58" i="19" s="1"/>
  <c r="T50" i="17"/>
  <c r="H20" i="19" s="1"/>
  <c r="U49" i="17"/>
  <c r="J56" i="19" s="1"/>
  <c r="Q49" i="17"/>
  <c r="M56" i="19" s="1"/>
  <c r="P56" i="19" s="1"/>
  <c r="R48" i="17"/>
  <c r="N55" i="19" s="1"/>
  <c r="Q55" i="19" s="1"/>
  <c r="S47" i="17"/>
  <c r="O57" i="19" s="1"/>
  <c r="R57" i="19" s="1"/>
  <c r="T46" i="17"/>
  <c r="H18" i="19" s="1"/>
  <c r="U45" i="17"/>
  <c r="J19" i="19" s="1"/>
  <c r="Q45" i="17"/>
  <c r="M19" i="19" s="1"/>
  <c r="P19" i="19" s="1"/>
  <c r="R44" i="17"/>
  <c r="N51" i="19" s="1"/>
  <c r="Q51" i="19" s="1"/>
  <c r="S43" i="17"/>
  <c r="O52" i="19" s="1"/>
  <c r="R52" i="19" s="1"/>
  <c r="T42" i="17"/>
  <c r="H49" i="19" s="1"/>
  <c r="U41" i="17"/>
  <c r="J50" i="19" s="1"/>
  <c r="Q41" i="17"/>
  <c r="M50" i="19" s="1"/>
  <c r="P50" i="19" s="1"/>
  <c r="R40" i="17"/>
  <c r="N17" i="19" s="1"/>
  <c r="Q17" i="19" s="1"/>
  <c r="S39" i="17"/>
  <c r="O54" i="19" s="1"/>
  <c r="R54" i="19" s="1"/>
  <c r="T38" i="17"/>
  <c r="H53" i="19" s="1"/>
  <c r="U37" i="17"/>
  <c r="J16" i="19" s="1"/>
  <c r="Q37" i="17"/>
  <c r="M16" i="19" s="1"/>
  <c r="P16" i="19" s="1"/>
  <c r="R36" i="17"/>
  <c r="N47" i="19" s="1"/>
  <c r="Q47" i="19" s="1"/>
  <c r="S35" i="17"/>
  <c r="O14" i="19" s="1"/>
  <c r="R14" i="19" s="1"/>
  <c r="T34" i="17"/>
  <c r="H15" i="19" s="1"/>
  <c r="U33" i="17"/>
  <c r="J45" i="19" s="1"/>
  <c r="Q33" i="17"/>
  <c r="M45" i="19" s="1"/>
  <c r="P45" i="19" s="1"/>
  <c r="R32" i="17"/>
  <c r="N13" i="19" s="1"/>
  <c r="Q13" i="19" s="1"/>
  <c r="S31" i="17"/>
  <c r="O44" i="19" s="1"/>
  <c r="R44" i="19" s="1"/>
  <c r="T30" i="17"/>
  <c r="H12" i="19" s="1"/>
  <c r="U29" i="17"/>
  <c r="J43" i="19" s="1"/>
  <c r="Q29" i="17"/>
  <c r="M43" i="19" s="1"/>
  <c r="P43" i="19" s="1"/>
  <c r="R28" i="17"/>
  <c r="N42" i="19" s="1"/>
  <c r="Q42" i="19" s="1"/>
  <c r="S27" i="17"/>
  <c r="O41" i="19" s="1"/>
  <c r="R41" i="19" s="1"/>
  <c r="T26" i="17"/>
  <c r="H11" i="19" s="1"/>
  <c r="U25" i="17"/>
  <c r="J40" i="19" s="1"/>
  <c r="Q25" i="17"/>
  <c r="M40" i="19" s="1"/>
  <c r="P40" i="19" s="1"/>
  <c r="R24" i="17"/>
  <c r="N10" i="19" s="1"/>
  <c r="Q10" i="19" s="1"/>
  <c r="S23" i="17"/>
  <c r="O39" i="19" s="1"/>
  <c r="R39" i="19" s="1"/>
  <c r="T22" i="17"/>
  <c r="H38" i="19" s="1"/>
  <c r="U21" i="17"/>
  <c r="J8" i="19" s="1"/>
  <c r="Q21" i="17"/>
  <c r="M8" i="19" s="1"/>
  <c r="P8" i="19" s="1"/>
  <c r="R20" i="17"/>
  <c r="N35" i="19" s="1"/>
  <c r="Q35" i="19" s="1"/>
  <c r="S19" i="17"/>
  <c r="O37" i="19" s="1"/>
  <c r="R37" i="19" s="1"/>
  <c r="T18" i="17"/>
  <c r="H7" i="19" s="1"/>
  <c r="U17" i="17"/>
  <c r="J36" i="19" s="1"/>
  <c r="Q17" i="17"/>
  <c r="M36" i="19" s="1"/>
  <c r="P36" i="19" s="1"/>
  <c r="R16" i="17"/>
  <c r="N46" i="19" s="1"/>
  <c r="Q46" i="19" s="1"/>
  <c r="S15" i="17"/>
  <c r="O30" i="19" s="1"/>
  <c r="R30" i="19" s="1"/>
  <c r="T14" i="17"/>
  <c r="H32" i="19" s="1"/>
  <c r="U13" i="17"/>
  <c r="J6" i="19" s="1"/>
  <c r="Q13" i="17"/>
  <c r="M6" i="19" s="1"/>
  <c r="P6" i="19" s="1"/>
  <c r="R12" i="17"/>
  <c r="N34" i="19" s="1"/>
  <c r="Q34" i="19" s="1"/>
  <c r="S11" i="17"/>
  <c r="O31" i="19" s="1"/>
  <c r="R31" i="19" s="1"/>
  <c r="T10" i="17"/>
  <c r="H33" i="19" s="1"/>
  <c r="X9" i="17"/>
  <c r="AA9" i="17"/>
  <c r="H5" i="20" s="1"/>
  <c r="N9" i="17"/>
  <c r="N70" i="17"/>
  <c r="J68" i="18" s="1"/>
  <c r="J70" i="17"/>
  <c r="M68" i="18" s="1"/>
  <c r="P68" i="18" s="1"/>
  <c r="K69" i="17"/>
  <c r="N67" i="18" s="1"/>
  <c r="Q67" i="18" s="1"/>
  <c r="L68" i="17"/>
  <c r="O66" i="18" s="1"/>
  <c r="R66" i="18" s="1"/>
  <c r="M67" i="17"/>
  <c r="H65" i="18" s="1"/>
  <c r="N66" i="17"/>
  <c r="J31" i="18" s="1"/>
  <c r="J66" i="17"/>
  <c r="M31" i="18" s="1"/>
  <c r="P31" i="18" s="1"/>
  <c r="K65" i="17"/>
  <c r="N64" i="18" s="1"/>
  <c r="Q64" i="18" s="1"/>
  <c r="L64" i="17"/>
  <c r="O30" i="18" s="1"/>
  <c r="R30" i="18" s="1"/>
  <c r="M63" i="17"/>
  <c r="H62" i="18" s="1"/>
  <c r="N62" i="17"/>
  <c r="J63" i="18" s="1"/>
  <c r="J62" i="17"/>
  <c r="M63" i="18" s="1"/>
  <c r="P63" i="18" s="1"/>
  <c r="K61" i="17"/>
  <c r="N29" i="18" s="1"/>
  <c r="Q29" i="18" s="1"/>
  <c r="L60" i="17"/>
  <c r="O61" i="18" s="1"/>
  <c r="R61" i="18" s="1"/>
  <c r="M59" i="17"/>
  <c r="H50" i="18" s="1"/>
  <c r="N58" i="17"/>
  <c r="J11" i="18" s="1"/>
  <c r="J58" i="17"/>
  <c r="M11" i="18" s="1"/>
  <c r="P11" i="18" s="1"/>
  <c r="K57" i="17"/>
  <c r="N28" i="18" s="1"/>
  <c r="Q28" i="18" s="1"/>
  <c r="L56" i="17"/>
  <c r="O27" i="18" s="1"/>
  <c r="R27" i="18" s="1"/>
  <c r="M55" i="17"/>
  <c r="H26" i="18" s="1"/>
  <c r="I26" i="18" s="1"/>
  <c r="N54" i="17"/>
  <c r="J25" i="18" s="1"/>
  <c r="J54" i="17"/>
  <c r="M25" i="18" s="1"/>
  <c r="P25" i="18" s="1"/>
  <c r="K53" i="17"/>
  <c r="N24" i="18" s="1"/>
  <c r="Q24" i="18" s="1"/>
  <c r="L52" i="17"/>
  <c r="O23" i="18" s="1"/>
  <c r="R23" i="18" s="1"/>
  <c r="M51" i="17"/>
  <c r="H60" i="18" s="1"/>
  <c r="N50" i="17"/>
  <c r="J22" i="18" s="1"/>
  <c r="J50" i="17"/>
  <c r="M22" i="18" s="1"/>
  <c r="P22" i="18" s="1"/>
  <c r="K49" i="17"/>
  <c r="N58" i="18" s="1"/>
  <c r="Q58" i="18" s="1"/>
  <c r="L48" i="17"/>
  <c r="O57" i="18" s="1"/>
  <c r="R57" i="18" s="1"/>
  <c r="M47" i="17"/>
  <c r="H59" i="18" s="1"/>
  <c r="N46" i="17"/>
  <c r="J20" i="18" s="1"/>
  <c r="J46" i="17"/>
  <c r="M20" i="18" s="1"/>
  <c r="P20" i="18" s="1"/>
  <c r="K45" i="17"/>
  <c r="N21" i="18" s="1"/>
  <c r="Q21" i="18" s="1"/>
  <c r="L44" i="17"/>
  <c r="O53" i="18" s="1"/>
  <c r="R53" i="18" s="1"/>
  <c r="M43" i="17"/>
  <c r="H54" i="18" s="1"/>
  <c r="N42" i="17"/>
  <c r="J51" i="18" s="1"/>
  <c r="J42" i="17"/>
  <c r="M51" i="18" s="1"/>
  <c r="P51" i="18" s="1"/>
  <c r="K41" i="17"/>
  <c r="N52" i="18" s="1"/>
  <c r="Q52" i="18" s="1"/>
  <c r="L40" i="17"/>
  <c r="O19" i="18" s="1"/>
  <c r="R19" i="18" s="1"/>
  <c r="M39" i="17"/>
  <c r="H56" i="18" s="1"/>
  <c r="N38" i="17"/>
  <c r="J55" i="18" s="1"/>
  <c r="J38" i="17"/>
  <c r="M55" i="18" s="1"/>
  <c r="P55" i="18" s="1"/>
  <c r="K37" i="17"/>
  <c r="N18" i="18" s="1"/>
  <c r="Q18" i="18" s="1"/>
  <c r="L36" i="17"/>
  <c r="O49" i="18" s="1"/>
  <c r="R49" i="18" s="1"/>
  <c r="M35" i="17"/>
  <c r="H16" i="18" s="1"/>
  <c r="N34" i="17"/>
  <c r="J17" i="18" s="1"/>
  <c r="J34" i="17"/>
  <c r="M17" i="18" s="1"/>
  <c r="P17" i="18" s="1"/>
  <c r="K33" i="17"/>
  <c r="N47" i="18" s="1"/>
  <c r="Q47" i="18" s="1"/>
  <c r="L32" i="17"/>
  <c r="O15" i="18" s="1"/>
  <c r="R15" i="18" s="1"/>
  <c r="M31" i="17"/>
  <c r="H46" i="18" s="1"/>
  <c r="N30" i="17"/>
  <c r="J14" i="18" s="1"/>
  <c r="J30" i="17"/>
  <c r="M14" i="18" s="1"/>
  <c r="P14" i="18" s="1"/>
  <c r="K29" i="17"/>
  <c r="N45" i="18" s="1"/>
  <c r="Q45" i="18" s="1"/>
  <c r="L28" i="17"/>
  <c r="O44" i="18" s="1"/>
  <c r="R44" i="18" s="1"/>
  <c r="M27" i="17"/>
  <c r="H43" i="18" s="1"/>
  <c r="N26" i="17"/>
  <c r="J13" i="18" s="1"/>
  <c r="J26" i="17"/>
  <c r="M13" i="18" s="1"/>
  <c r="P13" i="18" s="1"/>
  <c r="K25" i="17"/>
  <c r="N42" i="18" s="1"/>
  <c r="Q42" i="18" s="1"/>
  <c r="L24" i="17"/>
  <c r="O12" i="18" s="1"/>
  <c r="R12" i="18" s="1"/>
  <c r="M23" i="17"/>
  <c r="H41" i="18" s="1"/>
  <c r="N22" i="17"/>
  <c r="J40" i="18" s="1"/>
  <c r="J22" i="17"/>
  <c r="M40" i="18" s="1"/>
  <c r="P40" i="18" s="1"/>
  <c r="K21" i="17"/>
  <c r="N10" i="18" s="1"/>
  <c r="Q10" i="18" s="1"/>
  <c r="L20" i="17"/>
  <c r="O37" i="18" s="1"/>
  <c r="R37" i="18" s="1"/>
  <c r="M19" i="17"/>
  <c r="H39" i="18" s="1"/>
  <c r="N18" i="17"/>
  <c r="J9" i="18" s="1"/>
  <c r="J18" i="17"/>
  <c r="M9" i="18" s="1"/>
  <c r="P9" i="18" s="1"/>
  <c r="K17" i="17"/>
  <c r="N38" i="18" s="1"/>
  <c r="Q38" i="18" s="1"/>
  <c r="L16" i="17"/>
  <c r="O48" i="18" s="1"/>
  <c r="R48" i="18" s="1"/>
  <c r="M15" i="17"/>
  <c r="H32" i="18" s="1"/>
  <c r="I32" i="18" s="1"/>
  <c r="N14" i="17"/>
  <c r="J34" i="18" s="1"/>
  <c r="J14" i="17"/>
  <c r="M34" i="18" s="1"/>
  <c r="P34" i="18" s="1"/>
  <c r="K13" i="17"/>
  <c r="L12" i="17"/>
  <c r="O36" i="18" s="1"/>
  <c r="R36" i="18" s="1"/>
  <c r="M11" i="17"/>
  <c r="H33" i="18" s="1"/>
  <c r="N10" i="17"/>
  <c r="J35" i="18" s="1"/>
  <c r="J10" i="17"/>
  <c r="M35" i="18" s="1"/>
  <c r="P35" i="18" s="1"/>
  <c r="S9" i="17"/>
  <c r="S70" i="17"/>
  <c r="O66" i="19" s="1"/>
  <c r="R66" i="19" s="1"/>
  <c r="T69" i="17"/>
  <c r="H65" i="19" s="1"/>
  <c r="U68" i="17"/>
  <c r="J64" i="19" s="1"/>
  <c r="Q68" i="17"/>
  <c r="M64" i="19" s="1"/>
  <c r="P64" i="19" s="1"/>
  <c r="R67" i="17"/>
  <c r="N63" i="19" s="1"/>
  <c r="Q63" i="19" s="1"/>
  <c r="S66" i="17"/>
  <c r="O29" i="19" s="1"/>
  <c r="R29" i="19" s="1"/>
  <c r="T65" i="17"/>
  <c r="H62" i="19" s="1"/>
  <c r="U64" i="17"/>
  <c r="J28" i="19" s="1"/>
  <c r="Q64" i="17"/>
  <c r="M28" i="19" s="1"/>
  <c r="P28" i="19" s="1"/>
  <c r="R63" i="17"/>
  <c r="N60" i="19" s="1"/>
  <c r="Q60" i="19" s="1"/>
  <c r="S62" i="17"/>
  <c r="O61" i="19" s="1"/>
  <c r="R61" i="19" s="1"/>
  <c r="T61" i="17"/>
  <c r="H27" i="19" s="1"/>
  <c r="U60" i="17"/>
  <c r="J59" i="19" s="1"/>
  <c r="Q60" i="17"/>
  <c r="M59" i="19" s="1"/>
  <c r="P59" i="19" s="1"/>
  <c r="R59" i="17"/>
  <c r="N48" i="19" s="1"/>
  <c r="Q48" i="19" s="1"/>
  <c r="S58" i="17"/>
  <c r="O9" i="19" s="1"/>
  <c r="R9" i="19" s="1"/>
  <c r="T57" i="17"/>
  <c r="H26" i="19" s="1"/>
  <c r="U56" i="17"/>
  <c r="J25" i="19" s="1"/>
  <c r="Q56" i="17"/>
  <c r="M25" i="19" s="1"/>
  <c r="P25" i="19" s="1"/>
  <c r="R55" i="17"/>
  <c r="N24" i="19" s="1"/>
  <c r="Q24" i="19" s="1"/>
  <c r="S54" i="17"/>
  <c r="O23" i="19" s="1"/>
  <c r="R23" i="19" s="1"/>
  <c r="T53" i="17"/>
  <c r="H22" i="19" s="1"/>
  <c r="U52" i="17"/>
  <c r="J21" i="19" s="1"/>
  <c r="Q52" i="17"/>
  <c r="M21" i="19" s="1"/>
  <c r="P21" i="19" s="1"/>
  <c r="R51" i="17"/>
  <c r="N58" i="19" s="1"/>
  <c r="Q58" i="19" s="1"/>
  <c r="S50" i="17"/>
  <c r="O20" i="19" s="1"/>
  <c r="R20" i="19" s="1"/>
  <c r="T49" i="17"/>
  <c r="H56" i="19" s="1"/>
  <c r="U48" i="17"/>
  <c r="J55" i="19" s="1"/>
  <c r="Q48" i="17"/>
  <c r="M55" i="19" s="1"/>
  <c r="P55" i="19" s="1"/>
  <c r="R47" i="17"/>
  <c r="N57" i="19" s="1"/>
  <c r="Q57" i="19" s="1"/>
  <c r="S46" i="17"/>
  <c r="O18" i="19" s="1"/>
  <c r="R18" i="19" s="1"/>
  <c r="T45" i="17"/>
  <c r="H19" i="19" s="1"/>
  <c r="U44" i="17"/>
  <c r="J51" i="19" s="1"/>
  <c r="Q44" i="17"/>
  <c r="M51" i="19" s="1"/>
  <c r="P51" i="19" s="1"/>
  <c r="R43" i="17"/>
  <c r="N52" i="19" s="1"/>
  <c r="Q52" i="19" s="1"/>
  <c r="S42" i="17"/>
  <c r="O49" i="19" s="1"/>
  <c r="R49" i="19" s="1"/>
  <c r="T41" i="17"/>
  <c r="H50" i="19" s="1"/>
  <c r="U40" i="17"/>
  <c r="J17" i="19" s="1"/>
  <c r="Q40" i="17"/>
  <c r="M17" i="19" s="1"/>
  <c r="P17" i="19" s="1"/>
  <c r="R39" i="17"/>
  <c r="N54" i="19" s="1"/>
  <c r="Q54" i="19" s="1"/>
  <c r="S38" i="17"/>
  <c r="O53" i="19" s="1"/>
  <c r="R53" i="19" s="1"/>
  <c r="T37" i="17"/>
  <c r="H16" i="19" s="1"/>
  <c r="U36" i="17"/>
  <c r="J47" i="19" s="1"/>
  <c r="Q36" i="17"/>
  <c r="M47" i="19" s="1"/>
  <c r="P47" i="19" s="1"/>
  <c r="R35" i="17"/>
  <c r="N14" i="19" s="1"/>
  <c r="Q14" i="19" s="1"/>
  <c r="S34" i="17"/>
  <c r="O15" i="19" s="1"/>
  <c r="R15" i="19" s="1"/>
  <c r="T33" i="17"/>
  <c r="H45" i="19" s="1"/>
  <c r="U32" i="17"/>
  <c r="J13" i="19" s="1"/>
  <c r="Q32" i="17"/>
  <c r="M13" i="19" s="1"/>
  <c r="P13" i="19" s="1"/>
  <c r="R31" i="17"/>
  <c r="N44" i="19" s="1"/>
  <c r="Q44" i="19" s="1"/>
  <c r="S30" i="17"/>
  <c r="O12" i="19" s="1"/>
  <c r="R12" i="19" s="1"/>
  <c r="T29" i="17"/>
  <c r="H43" i="19" s="1"/>
  <c r="U28" i="17"/>
  <c r="J42" i="19" s="1"/>
  <c r="Q28" i="17"/>
  <c r="M42" i="19" s="1"/>
  <c r="P42" i="19" s="1"/>
  <c r="R27" i="17"/>
  <c r="N41" i="19" s="1"/>
  <c r="Q41" i="19" s="1"/>
  <c r="S26" i="17"/>
  <c r="O11" i="19" s="1"/>
  <c r="R11" i="19" s="1"/>
  <c r="T25" i="17"/>
  <c r="H40" i="19" s="1"/>
  <c r="U24" i="17"/>
  <c r="J10" i="19" s="1"/>
  <c r="Q24" i="17"/>
  <c r="M10" i="19" s="1"/>
  <c r="P10" i="19" s="1"/>
  <c r="R23" i="17"/>
  <c r="N39" i="19" s="1"/>
  <c r="Q39" i="19" s="1"/>
  <c r="S22" i="17"/>
  <c r="O38" i="19" s="1"/>
  <c r="R38" i="19" s="1"/>
  <c r="T21" i="17"/>
  <c r="H8" i="19" s="1"/>
  <c r="U20" i="17"/>
  <c r="J35" i="19" s="1"/>
  <c r="Q20" i="17"/>
  <c r="M35" i="19" s="1"/>
  <c r="P35" i="19" s="1"/>
  <c r="R19" i="17"/>
  <c r="N37" i="19" s="1"/>
  <c r="Q37" i="19" s="1"/>
  <c r="S18" i="17"/>
  <c r="O7" i="19" s="1"/>
  <c r="R7" i="19" s="1"/>
  <c r="T17" i="17"/>
  <c r="H36" i="19" s="1"/>
  <c r="U16" i="17"/>
  <c r="J46" i="19" s="1"/>
  <c r="Q16" i="17"/>
  <c r="M46" i="19" s="1"/>
  <c r="P46" i="19" s="1"/>
  <c r="R15" i="17"/>
  <c r="N30" i="19" s="1"/>
  <c r="Q30" i="19" s="1"/>
  <c r="S14" i="17"/>
  <c r="O32" i="19" s="1"/>
  <c r="R32" i="19" s="1"/>
  <c r="T13" i="17"/>
  <c r="H6" i="19" s="1"/>
  <c r="U12" i="17"/>
  <c r="J34" i="19" s="1"/>
  <c r="Q12" i="17"/>
  <c r="M34" i="19" s="1"/>
  <c r="P34" i="19" s="1"/>
  <c r="R11" i="17"/>
  <c r="N31" i="19" s="1"/>
  <c r="Q31" i="19" s="1"/>
  <c r="S10" i="17"/>
  <c r="O33" i="19" s="1"/>
  <c r="R33" i="19" s="1"/>
  <c r="AD9" i="17"/>
  <c r="O5" i="20" s="1"/>
  <c r="Z9" i="17"/>
  <c r="N36" i="18"/>
  <c r="Q36" i="18" s="1"/>
  <c r="N32" i="18"/>
  <c r="Q32" i="18" s="1"/>
  <c r="O31" i="18"/>
  <c r="R31" i="18" s="1"/>
  <c r="J9" i="17"/>
  <c r="O28" i="18"/>
  <c r="R28" i="18" s="1"/>
  <c r="N23" i="18"/>
  <c r="Q23" i="18" s="1"/>
  <c r="O13" i="18"/>
  <c r="R13" i="18" s="1"/>
  <c r="N8" i="18"/>
  <c r="Q8" i="18" s="1"/>
  <c r="K15" i="18"/>
  <c r="H2" i="16"/>
  <c r="I11" i="16" s="1"/>
  <c r="J3" i="16"/>
  <c r="H3" i="16"/>
  <c r="J2" i="16"/>
  <c r="K53" i="16" s="1"/>
  <c r="L2" i="16"/>
  <c r="L3" i="16"/>
  <c r="L18" i="15"/>
  <c r="Q50" i="15"/>
  <c r="L8" i="15"/>
  <c r="O2" i="15"/>
  <c r="P41" i="15" s="1"/>
  <c r="M2" i="15"/>
  <c r="N40" i="15" s="1"/>
  <c r="O3" i="15"/>
  <c r="M3" i="15"/>
  <c r="J3" i="15"/>
  <c r="H3" i="15"/>
  <c r="H2" i="15"/>
  <c r="J2" i="15"/>
  <c r="K30" i="15" s="1"/>
  <c r="H2" i="14"/>
  <c r="I49" i="14" s="1"/>
  <c r="H3" i="14"/>
  <c r="J3" i="14"/>
  <c r="J2" i="14"/>
  <c r="K59" i="14" s="1"/>
  <c r="AI4" i="17" l="1"/>
  <c r="AV54" i="17"/>
  <c r="AX4" i="17"/>
  <c r="AV49" i="17"/>
  <c r="AV30" i="17"/>
  <c r="AV22" i="17"/>
  <c r="AV65" i="17"/>
  <c r="AV16" i="17"/>
  <c r="BA4" i="17"/>
  <c r="BB4" i="17"/>
  <c r="AJ4" i="17"/>
  <c r="BD41" i="17"/>
  <c r="BD17" i="17"/>
  <c r="BD68" i="17"/>
  <c r="L29" i="18"/>
  <c r="AV52" i="17"/>
  <c r="AV36" i="17"/>
  <c r="AV37" i="17"/>
  <c r="AF70" i="17"/>
  <c r="AF62" i="17"/>
  <c r="AF54" i="17"/>
  <c r="AV62" i="17"/>
  <c r="AV42" i="17"/>
  <c r="AV58" i="17"/>
  <c r="AV68" i="17"/>
  <c r="AV64" i="17"/>
  <c r="AV48" i="17"/>
  <c r="AV18" i="17"/>
  <c r="AV20" i="17"/>
  <c r="AV23" i="17"/>
  <c r="AV9" i="17"/>
  <c r="AV35" i="17"/>
  <c r="AV27" i="17"/>
  <c r="AV11" i="17"/>
  <c r="AA4" i="17"/>
  <c r="AT4" i="17"/>
  <c r="AB4" i="17"/>
  <c r="AC4" i="17"/>
  <c r="AW4" i="17"/>
  <c r="AR4" i="17"/>
  <c r="AS4" i="17"/>
  <c r="AD4" i="17"/>
  <c r="AV70" i="17"/>
  <c r="AK4" i="17"/>
  <c r="BF4" i="17"/>
  <c r="BD70" i="17"/>
  <c r="BD62" i="17"/>
  <c r="BH9" i="17"/>
  <c r="BG69" i="17" s="1"/>
  <c r="BI4" i="17"/>
  <c r="BD63" i="17"/>
  <c r="BD55" i="17"/>
  <c r="BD47" i="17"/>
  <c r="BD31" i="17"/>
  <c r="BD23" i="17"/>
  <c r="BD15" i="17"/>
  <c r="BD9" i="17"/>
  <c r="BE4" i="17"/>
  <c r="BD19" i="17"/>
  <c r="AV41" i="17"/>
  <c r="AV57" i="17"/>
  <c r="AV26" i="17"/>
  <c r="AV31" i="17"/>
  <c r="AV15" i="17"/>
  <c r="AV61" i="17"/>
  <c r="AV45" i="17"/>
  <c r="AV32" i="17"/>
  <c r="AV17" i="17"/>
  <c r="AV66" i="17"/>
  <c r="AV50" i="17"/>
  <c r="AV33" i="17"/>
  <c r="AV60" i="17"/>
  <c r="AV44" i="17"/>
  <c r="AV10" i="17"/>
  <c r="AV28" i="17"/>
  <c r="AV12" i="17"/>
  <c r="AV46" i="17"/>
  <c r="AV29" i="17"/>
  <c r="AV13" i="17"/>
  <c r="AV14" i="17"/>
  <c r="AV56" i="17"/>
  <c r="AV39" i="17"/>
  <c r="AV21" i="17"/>
  <c r="AV69" i="17"/>
  <c r="AV53" i="17"/>
  <c r="AV40" i="17"/>
  <c r="AV24" i="17"/>
  <c r="O5" i="21"/>
  <c r="R5" i="21" s="1"/>
  <c r="AO4" i="17"/>
  <c r="P5" i="21"/>
  <c r="S5" i="21" s="1"/>
  <c r="AP4" i="17"/>
  <c r="Q5" i="21"/>
  <c r="T5" i="21" s="1"/>
  <c r="AQ4" i="17"/>
  <c r="AF67" i="17"/>
  <c r="AF64" i="17"/>
  <c r="AF59" i="17"/>
  <c r="AF56" i="17"/>
  <c r="AF51" i="17"/>
  <c r="AF69" i="17"/>
  <c r="AF66" i="17"/>
  <c r="AF61" i="17"/>
  <c r="AF58" i="17"/>
  <c r="AF53" i="17"/>
  <c r="AF50" i="17"/>
  <c r="AF68" i="17"/>
  <c r="AF60" i="17"/>
  <c r="AF52" i="17"/>
  <c r="R5" i="20"/>
  <c r="U5" i="20" s="1"/>
  <c r="X4" i="17"/>
  <c r="T5" i="20"/>
  <c r="W5" i="20" s="1"/>
  <c r="Z4" i="17"/>
  <c r="S5" i="20"/>
  <c r="V5" i="20" s="1"/>
  <c r="Y4" i="17"/>
  <c r="J7" i="18"/>
  <c r="J3" i="18" s="1"/>
  <c r="N4" i="17"/>
  <c r="H7" i="18"/>
  <c r="H2" i="18" s="1"/>
  <c r="I16" i="18" s="1"/>
  <c r="M4" i="17"/>
  <c r="J5" i="19"/>
  <c r="J3" i="19" s="1"/>
  <c r="U4" i="17"/>
  <c r="H5" i="19"/>
  <c r="H2" i="19" s="1"/>
  <c r="T4" i="17"/>
  <c r="O5" i="19"/>
  <c r="R5" i="19" s="1"/>
  <c r="S4" i="17"/>
  <c r="N5" i="19"/>
  <c r="Q5" i="19" s="1"/>
  <c r="R4" i="17"/>
  <c r="M5" i="19"/>
  <c r="P5" i="19" s="1"/>
  <c r="Q4" i="17"/>
  <c r="L8" i="20"/>
  <c r="L57" i="18"/>
  <c r="S57" i="18" s="1"/>
  <c r="I48" i="17" s="1"/>
  <c r="O7" i="18"/>
  <c r="R7" i="18" s="1"/>
  <c r="L4" i="17"/>
  <c r="N7" i="18"/>
  <c r="Q7" i="18" s="1"/>
  <c r="K4" i="17"/>
  <c r="J2" i="18"/>
  <c r="K27" i="18" s="1"/>
  <c r="M7" i="18"/>
  <c r="P7" i="18" s="1"/>
  <c r="J4" i="17"/>
  <c r="L15" i="18"/>
  <c r="S15" i="18" s="1"/>
  <c r="I32" i="17" s="1"/>
  <c r="Q50" i="20"/>
  <c r="L2" i="21"/>
  <c r="M48" i="21" s="1"/>
  <c r="J2" i="20"/>
  <c r="K31" i="20" s="1"/>
  <c r="L18" i="20"/>
  <c r="S29" i="18"/>
  <c r="I61" i="17" s="1"/>
  <c r="H4" i="18"/>
  <c r="J5" i="18"/>
  <c r="O2" i="20"/>
  <c r="P35" i="20" s="1"/>
  <c r="H3" i="20"/>
  <c r="J3" i="20"/>
  <c r="L49" i="18"/>
  <c r="S49" i="18" s="1"/>
  <c r="I36" i="17" s="1"/>
  <c r="M3" i="20"/>
  <c r="H3" i="21"/>
  <c r="H2" i="20"/>
  <c r="L19" i="18"/>
  <c r="O3" i="20"/>
  <c r="L38" i="18"/>
  <c r="S38" i="18" s="1"/>
  <c r="I17" i="17" s="1"/>
  <c r="M2" i="20"/>
  <c r="N40" i="20" s="1"/>
  <c r="H5" i="18"/>
  <c r="J4" i="18"/>
  <c r="L26" i="18"/>
  <c r="S26" i="18" s="1"/>
  <c r="I55" i="17" s="1"/>
  <c r="J3" i="21"/>
  <c r="H2" i="21"/>
  <c r="L3" i="21"/>
  <c r="J2" i="21"/>
  <c r="L32" i="18"/>
  <c r="S32" i="18" s="1"/>
  <c r="I15" i="17" s="1"/>
  <c r="S19" i="18"/>
  <c r="I40" i="17" s="1"/>
  <c r="AF65" i="17"/>
  <c r="AF57" i="17"/>
  <c r="AF16" i="17"/>
  <c r="AF48" i="17"/>
  <c r="AF43" i="17"/>
  <c r="AF40" i="17"/>
  <c r="AF35" i="17"/>
  <c r="AF32" i="17"/>
  <c r="AF27" i="17"/>
  <c r="AF19" i="17"/>
  <c r="AF11" i="17"/>
  <c r="AV67" i="17"/>
  <c r="AV51" i="17"/>
  <c r="AV19" i="17"/>
  <c r="BD56" i="17"/>
  <c r="BD48" i="17"/>
  <c r="BD40" i="17"/>
  <c r="BD32" i="17"/>
  <c r="BD24" i="17"/>
  <c r="BD16" i="17"/>
  <c r="BD67" i="17"/>
  <c r="BD59" i="17"/>
  <c r="BD51" i="17"/>
  <c r="BD43" i="17"/>
  <c r="BD35" i="17"/>
  <c r="BD27" i="17"/>
  <c r="BD11" i="17"/>
  <c r="AF20" i="17"/>
  <c r="AF45" i="17"/>
  <c r="AF42" i="17"/>
  <c r="AF37" i="17"/>
  <c r="AF34" i="17"/>
  <c r="AF29" i="17"/>
  <c r="AF26" i="17"/>
  <c r="AF21" i="17"/>
  <c r="AF18" i="17"/>
  <c r="AF13" i="17"/>
  <c r="AF10" i="17"/>
  <c r="AV38" i="17"/>
  <c r="AV59" i="17"/>
  <c r="AV43" i="17"/>
  <c r="BD66" i="17"/>
  <c r="BD54" i="17"/>
  <c r="BD46" i="17"/>
  <c r="BD38" i="17"/>
  <c r="BD30" i="17"/>
  <c r="BD22" i="17"/>
  <c r="BD14" i="17"/>
  <c r="BD39" i="17"/>
  <c r="BD65" i="17"/>
  <c r="BD57" i="17"/>
  <c r="BD49" i="17"/>
  <c r="BD33" i="17"/>
  <c r="BD25" i="17"/>
  <c r="AF9" i="17"/>
  <c r="AF24" i="17"/>
  <c r="AF47" i="17"/>
  <c r="AF44" i="17"/>
  <c r="AF39" i="17"/>
  <c r="AF36" i="17"/>
  <c r="AF31" i="17"/>
  <c r="AF23" i="17"/>
  <c r="AF15" i="17"/>
  <c r="AV63" i="17"/>
  <c r="AV55" i="17"/>
  <c r="AV47" i="17"/>
  <c r="AV34" i="17"/>
  <c r="BD52" i="17"/>
  <c r="BD44" i="17"/>
  <c r="BD36" i="17"/>
  <c r="BD28" i="17"/>
  <c r="BD20" i="17"/>
  <c r="BD12" i="17"/>
  <c r="AF63" i="17"/>
  <c r="AF55" i="17"/>
  <c r="AF28" i="17"/>
  <c r="AF12" i="17"/>
  <c r="AF49" i="17"/>
  <c r="AF46" i="17"/>
  <c r="AF41" i="17"/>
  <c r="AF38" i="17"/>
  <c r="AF33" i="17"/>
  <c r="AF30" i="17"/>
  <c r="AF25" i="17"/>
  <c r="AF22" i="17"/>
  <c r="AF17" i="17"/>
  <c r="AF14" i="17"/>
  <c r="AV25" i="17"/>
  <c r="BD58" i="17"/>
  <c r="BD50" i="17"/>
  <c r="BD42" i="17"/>
  <c r="BD34" i="17"/>
  <c r="BD26" i="17"/>
  <c r="BD18" i="17"/>
  <c r="BD10" i="17"/>
  <c r="BD69" i="17"/>
  <c r="BD61" i="17"/>
  <c r="BD53" i="17"/>
  <c r="BD45" i="17"/>
  <c r="BD37" i="17"/>
  <c r="BD29" i="17"/>
  <c r="BD21" i="17"/>
  <c r="BD13" i="17"/>
  <c r="I35" i="18"/>
  <c r="K34" i="18"/>
  <c r="L34" i="18" s="1"/>
  <c r="S34" i="18" s="1"/>
  <c r="I14" i="17" s="1"/>
  <c r="L8" i="18"/>
  <c r="S8" i="18" s="1"/>
  <c r="I13" i="17" s="1"/>
  <c r="I33" i="18"/>
  <c r="K33" i="18"/>
  <c r="L18" i="18"/>
  <c r="S18" i="18" s="1"/>
  <c r="I37" i="17" s="1"/>
  <c r="L44" i="18"/>
  <c r="S44" i="18" s="1"/>
  <c r="I28" i="17" s="1"/>
  <c r="M60" i="16"/>
  <c r="I14" i="16"/>
  <c r="I48" i="16"/>
  <c r="I30" i="16"/>
  <c r="I15" i="16"/>
  <c r="I12" i="16"/>
  <c r="I46" i="16"/>
  <c r="I52" i="16"/>
  <c r="I62" i="16"/>
  <c r="I20" i="16"/>
  <c r="I64" i="16"/>
  <c r="I18" i="16"/>
  <c r="I34" i="16"/>
  <c r="I50" i="16"/>
  <c r="I66" i="16"/>
  <c r="I60" i="16"/>
  <c r="I35" i="16"/>
  <c r="I28" i="16"/>
  <c r="I6" i="16"/>
  <c r="I22" i="16"/>
  <c r="I38" i="16"/>
  <c r="I54" i="16"/>
  <c r="I5" i="16"/>
  <c r="I7" i="16"/>
  <c r="I65" i="16"/>
  <c r="I40" i="16"/>
  <c r="I10" i="16"/>
  <c r="I26" i="16"/>
  <c r="I42" i="16"/>
  <c r="I58" i="16"/>
  <c r="I36" i="16"/>
  <c r="I27" i="16"/>
  <c r="I51" i="16"/>
  <c r="I32" i="16"/>
  <c r="I45" i="16"/>
  <c r="M63" i="16"/>
  <c r="M14" i="16"/>
  <c r="M45" i="16"/>
  <c r="K43" i="16"/>
  <c r="I31" i="16"/>
  <c r="I59" i="16"/>
  <c r="I17" i="16"/>
  <c r="M15" i="16"/>
  <c r="M41" i="16"/>
  <c r="M50" i="16"/>
  <c r="K24" i="16"/>
  <c r="M20" i="16"/>
  <c r="I57" i="16"/>
  <c r="M31" i="16"/>
  <c r="M61" i="16"/>
  <c r="K25" i="16"/>
  <c r="M18" i="16"/>
  <c r="M40" i="16"/>
  <c r="M44" i="16"/>
  <c r="I19" i="16"/>
  <c r="I47" i="16"/>
  <c r="I24" i="16"/>
  <c r="I41" i="16"/>
  <c r="M47" i="16"/>
  <c r="K36" i="16"/>
  <c r="M21" i="16"/>
  <c r="M46" i="16"/>
  <c r="K34" i="16"/>
  <c r="K35" i="16"/>
  <c r="M19" i="16"/>
  <c r="M51" i="16"/>
  <c r="M49" i="16"/>
  <c r="K44" i="16"/>
  <c r="M58" i="16"/>
  <c r="M25" i="16"/>
  <c r="K28" i="16"/>
  <c r="K13" i="16"/>
  <c r="K56" i="16"/>
  <c r="M24" i="16"/>
  <c r="K11" i="16"/>
  <c r="K45" i="16"/>
  <c r="M32" i="16"/>
  <c r="M48" i="16"/>
  <c r="M64" i="16"/>
  <c r="I23" i="16"/>
  <c r="I43" i="16"/>
  <c r="I63" i="16"/>
  <c r="I13" i="16"/>
  <c r="I25" i="16"/>
  <c r="M7" i="16"/>
  <c r="M23" i="16"/>
  <c r="M39" i="16"/>
  <c r="M55" i="16"/>
  <c r="M17" i="16"/>
  <c r="M53" i="16"/>
  <c r="K20" i="16"/>
  <c r="K48" i="16"/>
  <c r="M30" i="16"/>
  <c r="M66" i="16"/>
  <c r="K37" i="16"/>
  <c r="M33" i="16"/>
  <c r="K8" i="16"/>
  <c r="M5" i="16"/>
  <c r="M34" i="16"/>
  <c r="M62" i="16"/>
  <c r="K21" i="16"/>
  <c r="K18" i="16"/>
  <c r="K64" i="16"/>
  <c r="N64" i="16" s="1"/>
  <c r="M8" i="16"/>
  <c r="M28" i="16"/>
  <c r="M52" i="16"/>
  <c r="K19" i="16"/>
  <c r="K47" i="16"/>
  <c r="K41" i="16"/>
  <c r="K57" i="16"/>
  <c r="K60" i="16"/>
  <c r="M35" i="16"/>
  <c r="M9" i="16"/>
  <c r="K12" i="16"/>
  <c r="M22" i="16"/>
  <c r="K33" i="16"/>
  <c r="M65" i="16"/>
  <c r="M26" i="16"/>
  <c r="M54" i="16"/>
  <c r="K10" i="16"/>
  <c r="K65" i="16"/>
  <c r="K14" i="16"/>
  <c r="K38" i="16"/>
  <c r="K7" i="16"/>
  <c r="K23" i="16"/>
  <c r="K39" i="16"/>
  <c r="K51" i="16"/>
  <c r="K59" i="16"/>
  <c r="K6" i="16"/>
  <c r="K22" i="16"/>
  <c r="K30" i="16"/>
  <c r="K50" i="16"/>
  <c r="K58" i="16"/>
  <c r="N58" i="16" s="1"/>
  <c r="U58" i="16" s="1"/>
  <c r="AN51" i="9" s="1"/>
  <c r="K62" i="16"/>
  <c r="K15" i="16"/>
  <c r="K31" i="16"/>
  <c r="K46" i="16"/>
  <c r="K55" i="16"/>
  <c r="K63" i="16"/>
  <c r="I49" i="16"/>
  <c r="I29" i="16"/>
  <c r="M11" i="16"/>
  <c r="M27" i="16"/>
  <c r="M43" i="16"/>
  <c r="M59" i="16"/>
  <c r="M29" i="16"/>
  <c r="M57" i="16"/>
  <c r="K32" i="16"/>
  <c r="M6" i="16"/>
  <c r="M42" i="16"/>
  <c r="K17" i="16"/>
  <c r="M13" i="16"/>
  <c r="M37" i="16"/>
  <c r="K16" i="16"/>
  <c r="M10" i="16"/>
  <c r="M38" i="16"/>
  <c r="K9" i="16"/>
  <c r="K29" i="16"/>
  <c r="K26" i="16"/>
  <c r="K49" i="16"/>
  <c r="M12" i="16"/>
  <c r="M36" i="16"/>
  <c r="M56" i="16"/>
  <c r="K27" i="16"/>
  <c r="K52" i="16"/>
  <c r="K61" i="16"/>
  <c r="K5" i="16"/>
  <c r="I44" i="16"/>
  <c r="I61" i="16"/>
  <c r="I9" i="16"/>
  <c r="I33" i="16"/>
  <c r="I53" i="16"/>
  <c r="I39" i="16"/>
  <c r="I55" i="16"/>
  <c r="I16" i="16"/>
  <c r="I56" i="16"/>
  <c r="I8" i="16"/>
  <c r="I21" i="16"/>
  <c r="I37" i="16"/>
  <c r="I36" i="14"/>
  <c r="I47" i="14"/>
  <c r="I44" i="15"/>
  <c r="K13" i="15"/>
  <c r="I46" i="15"/>
  <c r="I34" i="15"/>
  <c r="K61" i="15"/>
  <c r="N25" i="15"/>
  <c r="K47" i="15"/>
  <c r="I49" i="15"/>
  <c r="I52" i="15"/>
  <c r="N12" i="15"/>
  <c r="N59" i="15"/>
  <c r="I56" i="15"/>
  <c r="K16" i="15"/>
  <c r="N7" i="15"/>
  <c r="I15" i="15"/>
  <c r="N45" i="15"/>
  <c r="K63" i="15"/>
  <c r="I65" i="15"/>
  <c r="N18" i="15"/>
  <c r="N64" i="15"/>
  <c r="I63" i="15"/>
  <c r="L63" i="15" s="1"/>
  <c r="I24" i="15"/>
  <c r="K48" i="15"/>
  <c r="N23" i="15"/>
  <c r="I31" i="15"/>
  <c r="N61" i="15"/>
  <c r="I17" i="15"/>
  <c r="N16" i="15"/>
  <c r="I54" i="15"/>
  <c r="I36" i="15"/>
  <c r="N20" i="15"/>
  <c r="K6" i="15"/>
  <c r="K45" i="15"/>
  <c r="I47" i="15"/>
  <c r="K31" i="15"/>
  <c r="I33" i="15"/>
  <c r="K10" i="15"/>
  <c r="I5" i="15"/>
  <c r="N43" i="15"/>
  <c r="N60" i="15"/>
  <c r="K54" i="15"/>
  <c r="P18" i="15"/>
  <c r="P54" i="15"/>
  <c r="P35" i="15"/>
  <c r="K29" i="15"/>
  <c r="L29" i="15" s="1"/>
  <c r="K15" i="15"/>
  <c r="P6" i="15"/>
  <c r="P22" i="15"/>
  <c r="P38" i="15"/>
  <c r="P58" i="15"/>
  <c r="P7" i="15"/>
  <c r="P23" i="15"/>
  <c r="P39" i="15"/>
  <c r="P55" i="15"/>
  <c r="K20" i="15"/>
  <c r="K36" i="15"/>
  <c r="K52" i="15"/>
  <c r="I6" i="15"/>
  <c r="I22" i="15"/>
  <c r="I38" i="15"/>
  <c r="N11" i="15"/>
  <c r="N27" i="15"/>
  <c r="K17" i="15"/>
  <c r="K33" i="15"/>
  <c r="K49" i="15"/>
  <c r="K65" i="15"/>
  <c r="I19" i="15"/>
  <c r="I35" i="15"/>
  <c r="I51" i="15"/>
  <c r="N33" i="15"/>
  <c r="N49" i="15"/>
  <c r="N65" i="15"/>
  <c r="K19" i="15"/>
  <c r="K35" i="15"/>
  <c r="K51" i="15"/>
  <c r="K5" i="15"/>
  <c r="I21" i="15"/>
  <c r="I37" i="15"/>
  <c r="I53" i="15"/>
  <c r="P33" i="15"/>
  <c r="N28" i="15"/>
  <c r="K34" i="15"/>
  <c r="N6" i="15"/>
  <c r="N22" i="15"/>
  <c r="Q22" i="15" s="1"/>
  <c r="I58" i="15"/>
  <c r="P13" i="15"/>
  <c r="P45" i="15"/>
  <c r="N24" i="15"/>
  <c r="K58" i="15"/>
  <c r="I60" i="15"/>
  <c r="P32" i="15"/>
  <c r="P64" i="15"/>
  <c r="N47" i="15"/>
  <c r="N63" i="15"/>
  <c r="P5" i="15"/>
  <c r="N32" i="15"/>
  <c r="K26" i="15"/>
  <c r="K14" i="15"/>
  <c r="I32" i="15"/>
  <c r="K38" i="15"/>
  <c r="I16" i="15"/>
  <c r="L16" i="15" s="1"/>
  <c r="P12" i="15"/>
  <c r="P44" i="15"/>
  <c r="P20" i="15"/>
  <c r="P52" i="15"/>
  <c r="P36" i="15"/>
  <c r="P28" i="15"/>
  <c r="P60" i="15"/>
  <c r="P34" i="15"/>
  <c r="P19" i="15"/>
  <c r="K64" i="15"/>
  <c r="P37" i="15"/>
  <c r="P24" i="15"/>
  <c r="P56" i="15"/>
  <c r="P10" i="15"/>
  <c r="P26" i="15"/>
  <c r="P42" i="15"/>
  <c r="P62" i="15"/>
  <c r="P11" i="15"/>
  <c r="P27" i="15"/>
  <c r="P43" i="15"/>
  <c r="P59" i="15"/>
  <c r="K24" i="15"/>
  <c r="K40" i="15"/>
  <c r="K56" i="15"/>
  <c r="I10" i="15"/>
  <c r="I26" i="15"/>
  <c r="I42" i="15"/>
  <c r="N15" i="15"/>
  <c r="N31" i="15"/>
  <c r="K21" i="15"/>
  <c r="K37" i="15"/>
  <c r="K53" i="15"/>
  <c r="I7" i="15"/>
  <c r="I23" i="15"/>
  <c r="I39" i="15"/>
  <c r="N9" i="15"/>
  <c r="N37" i="15"/>
  <c r="N53" i="15"/>
  <c r="K7" i="15"/>
  <c r="K23" i="15"/>
  <c r="K39" i="15"/>
  <c r="K55" i="15"/>
  <c r="I9" i="15"/>
  <c r="I25" i="15"/>
  <c r="I41" i="15"/>
  <c r="I57" i="15"/>
  <c r="P49" i="15"/>
  <c r="N44" i="15"/>
  <c r="K50" i="15"/>
  <c r="N10" i="15"/>
  <c r="Q10" i="15" s="1"/>
  <c r="N26" i="15"/>
  <c r="Q26" i="15" s="1"/>
  <c r="I62" i="15"/>
  <c r="P17" i="15"/>
  <c r="P57" i="15"/>
  <c r="N36" i="15"/>
  <c r="I12" i="15"/>
  <c r="L12" i="15" s="1"/>
  <c r="P8" i="15"/>
  <c r="Q8" i="15" s="1"/>
  <c r="P40" i="15"/>
  <c r="Q40" i="15" s="1"/>
  <c r="N35" i="15"/>
  <c r="Q35" i="15" s="1"/>
  <c r="N51" i="15"/>
  <c r="I55" i="15"/>
  <c r="P9" i="15"/>
  <c r="P53" i="15"/>
  <c r="K42" i="15"/>
  <c r="K46" i="15"/>
  <c r="I48" i="15"/>
  <c r="K22" i="15"/>
  <c r="I40" i="15"/>
  <c r="P51" i="15"/>
  <c r="K32" i="15"/>
  <c r="P29" i="15"/>
  <c r="N5" i="15"/>
  <c r="N13" i="15"/>
  <c r="Q13" i="15" s="1"/>
  <c r="N38" i="15"/>
  <c r="N54" i="15"/>
  <c r="N21" i="15"/>
  <c r="N42" i="15"/>
  <c r="N58" i="15"/>
  <c r="N34" i="15"/>
  <c r="N29" i="15"/>
  <c r="N46" i="15"/>
  <c r="N62" i="15"/>
  <c r="N66" i="15"/>
  <c r="P14" i="15"/>
  <c r="P30" i="15"/>
  <c r="P46" i="15"/>
  <c r="P66" i="15"/>
  <c r="P15" i="15"/>
  <c r="P31" i="15"/>
  <c r="P47" i="15"/>
  <c r="P63" i="15"/>
  <c r="K28" i="15"/>
  <c r="K44" i="15"/>
  <c r="L44" i="15" s="1"/>
  <c r="K60" i="15"/>
  <c r="I14" i="15"/>
  <c r="I30" i="15"/>
  <c r="L30" i="15" s="1"/>
  <c r="I50" i="15"/>
  <c r="L50" i="15" s="1"/>
  <c r="N19" i="15"/>
  <c r="K9" i="15"/>
  <c r="K25" i="15"/>
  <c r="K41" i="15"/>
  <c r="K57" i="15"/>
  <c r="I11" i="15"/>
  <c r="I27" i="15"/>
  <c r="I43" i="15"/>
  <c r="N17" i="15"/>
  <c r="N41" i="15"/>
  <c r="Q41" i="15" s="1"/>
  <c r="N57" i="15"/>
  <c r="K11" i="15"/>
  <c r="K27" i="15"/>
  <c r="K43" i="15"/>
  <c r="K59" i="15"/>
  <c r="I13" i="15"/>
  <c r="L13" i="15" s="1"/>
  <c r="I45" i="15"/>
  <c r="I61" i="15"/>
  <c r="P61" i="15"/>
  <c r="N56" i="15"/>
  <c r="Q56" i="15" s="1"/>
  <c r="K66" i="15"/>
  <c r="N14" i="15"/>
  <c r="N30" i="15"/>
  <c r="I66" i="15"/>
  <c r="P25" i="15"/>
  <c r="N48" i="15"/>
  <c r="I20" i="15"/>
  <c r="P16" i="15"/>
  <c r="P48" i="15"/>
  <c r="N39" i="15"/>
  <c r="N55" i="15"/>
  <c r="I59" i="15"/>
  <c r="P21" i="15"/>
  <c r="P65" i="15"/>
  <c r="N52" i="15"/>
  <c r="Q52" i="15" s="1"/>
  <c r="I28" i="15"/>
  <c r="K62" i="15"/>
  <c r="I64" i="15"/>
  <c r="I7" i="14"/>
  <c r="I5" i="14"/>
  <c r="I31" i="14"/>
  <c r="I30" i="14"/>
  <c r="I59" i="14"/>
  <c r="I27" i="14"/>
  <c r="I28" i="14"/>
  <c r="I18" i="14"/>
  <c r="I19" i="14"/>
  <c r="I39" i="14"/>
  <c r="I16" i="14"/>
  <c r="I22" i="14"/>
  <c r="I23" i="14"/>
  <c r="I43" i="14"/>
  <c r="I20" i="14"/>
  <c r="I44" i="14"/>
  <c r="I48" i="14"/>
  <c r="I11" i="14"/>
  <c r="I51" i="14"/>
  <c r="I12" i="14"/>
  <c r="I32" i="14"/>
  <c r="I60" i="14"/>
  <c r="I33" i="14"/>
  <c r="I6" i="14"/>
  <c r="I26" i="14"/>
  <c r="I15" i="14"/>
  <c r="I14" i="14"/>
  <c r="I63" i="14"/>
  <c r="I34" i="14"/>
  <c r="I52" i="14"/>
  <c r="I46" i="14"/>
  <c r="I35" i="14"/>
  <c r="I55" i="14"/>
  <c r="I8" i="14"/>
  <c r="I24" i="14"/>
  <c r="I40" i="14"/>
  <c r="I56" i="14"/>
  <c r="I57" i="14"/>
  <c r="I45" i="14"/>
  <c r="I42" i="14"/>
  <c r="I25" i="14"/>
  <c r="I17" i="14"/>
  <c r="I54" i="14"/>
  <c r="K65" i="14"/>
  <c r="K18" i="14"/>
  <c r="K38" i="14"/>
  <c r="K62" i="14"/>
  <c r="K35" i="14"/>
  <c r="K63" i="14"/>
  <c r="K17" i="14"/>
  <c r="K33" i="14"/>
  <c r="K49" i="14"/>
  <c r="I50" i="14"/>
  <c r="K46" i="14"/>
  <c r="K11" i="14"/>
  <c r="K39" i="14"/>
  <c r="I21" i="14"/>
  <c r="I38" i="14"/>
  <c r="I62" i="14"/>
  <c r="K6" i="14"/>
  <c r="K22" i="14"/>
  <c r="K42" i="14"/>
  <c r="I64" i="14"/>
  <c r="K43" i="14"/>
  <c r="I13" i="14"/>
  <c r="K21" i="14"/>
  <c r="K37" i="14"/>
  <c r="K53" i="14"/>
  <c r="I9" i="14"/>
  <c r="I37" i="14"/>
  <c r="K54" i="14"/>
  <c r="K19" i="14"/>
  <c r="K51" i="14"/>
  <c r="I41" i="14"/>
  <c r="I66" i="14"/>
  <c r="K10" i="14"/>
  <c r="K26" i="14"/>
  <c r="K50" i="14"/>
  <c r="K15" i="14"/>
  <c r="K47" i="14"/>
  <c r="I29" i="14"/>
  <c r="K25" i="14"/>
  <c r="K41" i="14"/>
  <c r="K61" i="14"/>
  <c r="I65" i="14"/>
  <c r="I10" i="14"/>
  <c r="K66" i="14"/>
  <c r="K23" i="14"/>
  <c r="I53" i="14"/>
  <c r="K9" i="14"/>
  <c r="K13" i="14"/>
  <c r="K24" i="14"/>
  <c r="K32" i="14"/>
  <c r="K52" i="14"/>
  <c r="K20" i="14"/>
  <c r="K44" i="14"/>
  <c r="K60" i="14"/>
  <c r="K8" i="14"/>
  <c r="K12" i="14"/>
  <c r="K16" i="14"/>
  <c r="K28" i="14"/>
  <c r="K36" i="14"/>
  <c r="K40" i="14"/>
  <c r="K48" i="14"/>
  <c r="K56" i="14"/>
  <c r="K64" i="14"/>
  <c r="K57" i="14"/>
  <c r="K14" i="14"/>
  <c r="K30" i="14"/>
  <c r="K58" i="14"/>
  <c r="K27" i="14"/>
  <c r="K55" i="14"/>
  <c r="I61" i="14"/>
  <c r="K29" i="14"/>
  <c r="K45" i="14"/>
  <c r="I58" i="14"/>
  <c r="K34" i="14"/>
  <c r="K7" i="14"/>
  <c r="K31" i="14"/>
  <c r="K5" i="14"/>
  <c r="K42" i="21" l="1"/>
  <c r="AV4" i="17"/>
  <c r="AF4" i="17"/>
  <c r="K35" i="18"/>
  <c r="L35" i="18" s="1"/>
  <c r="S35" i="18" s="1"/>
  <c r="I10" i="17" s="1"/>
  <c r="BD4" i="17"/>
  <c r="BH4" i="17"/>
  <c r="BG25" i="17"/>
  <c r="BG14" i="17"/>
  <c r="BG31" i="17"/>
  <c r="BG19" i="17"/>
  <c r="BG17" i="17"/>
  <c r="BG32" i="17"/>
  <c r="BG24" i="17"/>
  <c r="BG40" i="17"/>
  <c r="BG44" i="17"/>
  <c r="BG48" i="17"/>
  <c r="BG56" i="17"/>
  <c r="BG60" i="17"/>
  <c r="BG64" i="17"/>
  <c r="BG35" i="17"/>
  <c r="BG34" i="17"/>
  <c r="BG57" i="17"/>
  <c r="BG65" i="17"/>
  <c r="BG29" i="17"/>
  <c r="BG20" i="17"/>
  <c r="BG11" i="17"/>
  <c r="BG28" i="17"/>
  <c r="BG38" i="17"/>
  <c r="BG42" i="17"/>
  <c r="BG46" i="17"/>
  <c r="BG54" i="17"/>
  <c r="BG62" i="17"/>
  <c r="BG70" i="17"/>
  <c r="BG33" i="17"/>
  <c r="BG23" i="17"/>
  <c r="BG15" i="17"/>
  <c r="BG22" i="17"/>
  <c r="BG63" i="17"/>
  <c r="BG9" i="17"/>
  <c r="BG18" i="17"/>
  <c r="BG27" i="17"/>
  <c r="BG41" i="17"/>
  <c r="BG45" i="17"/>
  <c r="BG49" i="17"/>
  <c r="BG61" i="17"/>
  <c r="BG10" i="17"/>
  <c r="BG13" i="17"/>
  <c r="BG36" i="17"/>
  <c r="BG50" i="17"/>
  <c r="BG58" i="17"/>
  <c r="BG66" i="17"/>
  <c r="BG12" i="17"/>
  <c r="BG16" i="17"/>
  <c r="BG30" i="17"/>
  <c r="BG39" i="17"/>
  <c r="BG43" i="17"/>
  <c r="BG47" i="17"/>
  <c r="BG51" i="17"/>
  <c r="BG55" i="17"/>
  <c r="BG59" i="17"/>
  <c r="BG67" i="17"/>
  <c r="BG52" i="17"/>
  <c r="BG21" i="17"/>
  <c r="BG68" i="17"/>
  <c r="BG26" i="17"/>
  <c r="BG53" i="17"/>
  <c r="BG37" i="17"/>
  <c r="BC13" i="17"/>
  <c r="AU39" i="17"/>
  <c r="AU29" i="17"/>
  <c r="AU14" i="17"/>
  <c r="AU58" i="17"/>
  <c r="AU59" i="17"/>
  <c r="AU43" i="17"/>
  <c r="AU19" i="17"/>
  <c r="AU48" i="17"/>
  <c r="AU64" i="17"/>
  <c r="AU30" i="17"/>
  <c r="AU16" i="17"/>
  <c r="J2" i="19"/>
  <c r="K30" i="19" s="1"/>
  <c r="AU41" i="17"/>
  <c r="AU28" i="17"/>
  <c r="AU44" i="17"/>
  <c r="AU60" i="17"/>
  <c r="AU49" i="17"/>
  <c r="AU65" i="17"/>
  <c r="AU69" i="17"/>
  <c r="AU62" i="17"/>
  <c r="AU63" i="17"/>
  <c r="AU18" i="17"/>
  <c r="AU42" i="17"/>
  <c r="AU25" i="17"/>
  <c r="AU61" i="17"/>
  <c r="AU70" i="17"/>
  <c r="AU24" i="17"/>
  <c r="AU47" i="17"/>
  <c r="AU31" i="17"/>
  <c r="AU33" i="17"/>
  <c r="AU66" i="17"/>
  <c r="AU10" i="17"/>
  <c r="AU68" i="17"/>
  <c r="AU53" i="17"/>
  <c r="AE14" i="17"/>
  <c r="K37" i="20"/>
  <c r="K58" i="20"/>
  <c r="K49" i="20"/>
  <c r="K48" i="20"/>
  <c r="M45" i="21"/>
  <c r="H3" i="18"/>
  <c r="I23" i="18" s="1"/>
  <c r="H3" i="19"/>
  <c r="I56" i="19" s="1"/>
  <c r="N44" i="20"/>
  <c r="N13" i="20"/>
  <c r="P63" i="20"/>
  <c r="N24" i="20"/>
  <c r="N41" i="20"/>
  <c r="N58" i="20"/>
  <c r="I7" i="19"/>
  <c r="I25" i="19"/>
  <c r="I31" i="19"/>
  <c r="N23" i="20"/>
  <c r="N9" i="20"/>
  <c r="N14" i="20"/>
  <c r="N30" i="20"/>
  <c r="N47" i="20"/>
  <c r="N10" i="20"/>
  <c r="N16" i="20"/>
  <c r="N32" i="20"/>
  <c r="N51" i="20"/>
  <c r="N27" i="20"/>
  <c r="N7" i="20"/>
  <c r="N22" i="20"/>
  <c r="N39" i="20"/>
  <c r="N36" i="20"/>
  <c r="N59" i="20"/>
  <c r="M59" i="21"/>
  <c r="I54" i="18"/>
  <c r="K26" i="20"/>
  <c r="N25" i="20"/>
  <c r="N12" i="20"/>
  <c r="N5" i="20"/>
  <c r="N33" i="20"/>
  <c r="N18" i="20"/>
  <c r="N26" i="20"/>
  <c r="N34" i="20"/>
  <c r="N43" i="20"/>
  <c r="N55" i="20"/>
  <c r="K36" i="20"/>
  <c r="N60" i="20"/>
  <c r="N66" i="20"/>
  <c r="I5" i="19"/>
  <c r="N11" i="20"/>
  <c r="K5" i="20"/>
  <c r="N6" i="20"/>
  <c r="N38" i="20"/>
  <c r="N37" i="20"/>
  <c r="N20" i="20"/>
  <c r="N28" i="20"/>
  <c r="N35" i="20"/>
  <c r="Q35" i="20" s="1"/>
  <c r="N45" i="20"/>
  <c r="K7" i="20"/>
  <c r="N19" i="20"/>
  <c r="I18" i="19"/>
  <c r="M63" i="21"/>
  <c r="K59" i="20"/>
  <c r="K15" i="20"/>
  <c r="K11" i="20"/>
  <c r="K54" i="20"/>
  <c r="K25" i="20"/>
  <c r="K46" i="20"/>
  <c r="K52" i="20"/>
  <c r="K61" i="20"/>
  <c r="K6" i="20"/>
  <c r="K43" i="20"/>
  <c r="I19" i="19"/>
  <c r="I34" i="19"/>
  <c r="K13" i="20"/>
  <c r="K44" i="20"/>
  <c r="K30" i="20"/>
  <c r="K41" i="20"/>
  <c r="K39" i="20"/>
  <c r="I35" i="19"/>
  <c r="K33" i="20"/>
  <c r="K50" i="20"/>
  <c r="K38" i="20"/>
  <c r="K45" i="20"/>
  <c r="K32" i="20"/>
  <c r="K63" i="20"/>
  <c r="I59" i="19"/>
  <c r="I32" i="19"/>
  <c r="I16" i="19"/>
  <c r="I55" i="21"/>
  <c r="M60" i="21"/>
  <c r="K36" i="18"/>
  <c r="K9" i="20"/>
  <c r="K29" i="20"/>
  <c r="L29" i="20" s="1"/>
  <c r="K40" i="20"/>
  <c r="K64" i="20"/>
  <c r="K19" i="20"/>
  <c r="K21" i="20"/>
  <c r="K42" i="20"/>
  <c r="K16" i="20"/>
  <c r="K14" i="20"/>
  <c r="K24" i="20"/>
  <c r="K10" i="20"/>
  <c r="K53" i="20"/>
  <c r="K47" i="20"/>
  <c r="K51" i="20"/>
  <c r="I16" i="21"/>
  <c r="I52" i="19"/>
  <c r="I36" i="19"/>
  <c r="I27" i="19"/>
  <c r="I22" i="19"/>
  <c r="I42" i="19"/>
  <c r="I55" i="19"/>
  <c r="M61" i="21"/>
  <c r="K27" i="20"/>
  <c r="K60" i="20"/>
  <c r="K23" i="20"/>
  <c r="K66" i="20"/>
  <c r="K56" i="20"/>
  <c r="K17" i="20"/>
  <c r="K34" i="20"/>
  <c r="K62" i="20"/>
  <c r="K20" i="20"/>
  <c r="K22" i="20"/>
  <c r="K28" i="20"/>
  <c r="K35" i="20"/>
  <c r="K57" i="20"/>
  <c r="K65" i="20"/>
  <c r="K55" i="20"/>
  <c r="N61" i="20"/>
  <c r="N62" i="20"/>
  <c r="I45" i="19"/>
  <c r="I49" i="19"/>
  <c r="I30" i="19"/>
  <c r="I54" i="19"/>
  <c r="I35" i="20"/>
  <c r="I20" i="19"/>
  <c r="K25" i="21"/>
  <c r="K24" i="18"/>
  <c r="I39" i="19"/>
  <c r="I64" i="20"/>
  <c r="I6" i="20"/>
  <c r="I49" i="20"/>
  <c r="I60" i="20"/>
  <c r="K43" i="18"/>
  <c r="I63" i="18"/>
  <c r="N49" i="20"/>
  <c r="N57" i="20"/>
  <c r="N15" i="20"/>
  <c r="N54" i="20"/>
  <c r="N29" i="20"/>
  <c r="N48" i="20"/>
  <c r="N31" i="20"/>
  <c r="N52" i="20"/>
  <c r="K58" i="18"/>
  <c r="I66" i="18"/>
  <c r="I50" i="18"/>
  <c r="N53" i="20"/>
  <c r="N64" i="20"/>
  <c r="N17" i="20"/>
  <c r="N56" i="20"/>
  <c r="M34" i="21"/>
  <c r="N65" i="20"/>
  <c r="N42" i="20"/>
  <c r="N21" i="20"/>
  <c r="N46" i="20"/>
  <c r="I42" i="18"/>
  <c r="N63" i="20"/>
  <c r="K38" i="21"/>
  <c r="I11" i="20"/>
  <c r="K31" i="18"/>
  <c r="I15" i="20"/>
  <c r="K20" i="18"/>
  <c r="I31" i="20"/>
  <c r="L31" i="20" s="1"/>
  <c r="M47" i="21"/>
  <c r="M13" i="21"/>
  <c r="M8" i="21"/>
  <c r="I47" i="20"/>
  <c r="I39" i="20"/>
  <c r="K37" i="18"/>
  <c r="K60" i="18"/>
  <c r="P37" i="20"/>
  <c r="K10" i="18"/>
  <c r="I48" i="20"/>
  <c r="I9" i="20"/>
  <c r="P36" i="20"/>
  <c r="I17" i="20"/>
  <c r="I50" i="20"/>
  <c r="M5" i="21"/>
  <c r="K17" i="21"/>
  <c r="M66" i="21"/>
  <c r="I24" i="20"/>
  <c r="I36" i="20"/>
  <c r="M40" i="21"/>
  <c r="P43" i="20"/>
  <c r="P42" i="20"/>
  <c r="P60" i="20"/>
  <c r="P38" i="20"/>
  <c r="K28" i="18"/>
  <c r="I21" i="20"/>
  <c r="I19" i="20"/>
  <c r="I34" i="20"/>
  <c r="I66" i="20"/>
  <c r="K6" i="21"/>
  <c r="K30" i="21"/>
  <c r="I26" i="20"/>
  <c r="I61" i="20"/>
  <c r="I55" i="20"/>
  <c r="P30" i="20"/>
  <c r="P45" i="20"/>
  <c r="P41" i="20"/>
  <c r="K22" i="18"/>
  <c r="P18" i="20"/>
  <c r="P15" i="20"/>
  <c r="P53" i="20"/>
  <c r="K17" i="18"/>
  <c r="K16" i="18"/>
  <c r="L16" i="18" s="1"/>
  <c r="S16" i="18" s="1"/>
  <c r="I35" i="17" s="1"/>
  <c r="I30" i="20"/>
  <c r="I25" i="20"/>
  <c r="I5" i="20"/>
  <c r="I23" i="20"/>
  <c r="I42" i="20"/>
  <c r="I54" i="20"/>
  <c r="I40" i="20"/>
  <c r="I28" i="20"/>
  <c r="M22" i="21"/>
  <c r="K60" i="21"/>
  <c r="K18" i="21"/>
  <c r="K7" i="21"/>
  <c r="K49" i="21"/>
  <c r="K20" i="21"/>
  <c r="M46" i="21"/>
  <c r="I10" i="20"/>
  <c r="I63" i="20"/>
  <c r="I51" i="20"/>
  <c r="I33" i="20"/>
  <c r="I22" i="20"/>
  <c r="I45" i="20"/>
  <c r="K7" i="18"/>
  <c r="K23" i="18"/>
  <c r="K9" i="18"/>
  <c r="K40" i="18"/>
  <c r="I41" i="20"/>
  <c r="P47" i="20"/>
  <c r="P14" i="20"/>
  <c r="P17" i="20"/>
  <c r="P46" i="20"/>
  <c r="P62" i="20"/>
  <c r="P51" i="20"/>
  <c r="P24" i="20"/>
  <c r="I39" i="21"/>
  <c r="K11" i="18"/>
  <c r="I13" i="20"/>
  <c r="I38" i="20"/>
  <c r="I62" i="20"/>
  <c r="I12" i="20"/>
  <c r="L12" i="20" s="1"/>
  <c r="K31" i="21"/>
  <c r="K63" i="21"/>
  <c r="I65" i="20"/>
  <c r="I20" i="20"/>
  <c r="K13" i="18"/>
  <c r="P55" i="20"/>
  <c r="P25" i="20"/>
  <c r="P31" i="20"/>
  <c r="K21" i="18"/>
  <c r="K25" i="18"/>
  <c r="I52" i="20"/>
  <c r="I56" i="20"/>
  <c r="I7" i="20"/>
  <c r="I27" i="20"/>
  <c r="I46" i="20"/>
  <c r="I58" i="20"/>
  <c r="I44" i="20"/>
  <c r="M43" i="21"/>
  <c r="M55" i="21"/>
  <c r="K62" i="21"/>
  <c r="K23" i="21"/>
  <c r="M41" i="21"/>
  <c r="M33" i="21"/>
  <c r="I32" i="20"/>
  <c r="I16" i="20"/>
  <c r="I59" i="20"/>
  <c r="I53" i="20"/>
  <c r="I43" i="20"/>
  <c r="I57" i="20"/>
  <c r="K14" i="18"/>
  <c r="K12" i="18"/>
  <c r="K30" i="18"/>
  <c r="K64" i="18"/>
  <c r="I14" i="20"/>
  <c r="P40" i="20"/>
  <c r="Q40" i="20" s="1"/>
  <c r="P20" i="20"/>
  <c r="I37" i="20"/>
  <c r="P34" i="20"/>
  <c r="P65" i="20"/>
  <c r="P52" i="20"/>
  <c r="P16" i="20"/>
  <c r="I58" i="21"/>
  <c r="I45" i="18"/>
  <c r="I40" i="18"/>
  <c r="I41" i="18"/>
  <c r="I46" i="18"/>
  <c r="I9" i="21"/>
  <c r="I46" i="21"/>
  <c r="I50" i="21"/>
  <c r="I45" i="21"/>
  <c r="I36" i="21"/>
  <c r="I28" i="21"/>
  <c r="I59" i="18"/>
  <c r="I37" i="18"/>
  <c r="I51" i="18"/>
  <c r="I36" i="18"/>
  <c r="I67" i="18"/>
  <c r="I22" i="21"/>
  <c r="I66" i="21"/>
  <c r="I15" i="21"/>
  <c r="I35" i="21"/>
  <c r="I48" i="18"/>
  <c r="I55" i="18"/>
  <c r="I52" i="18"/>
  <c r="I56" i="18"/>
  <c r="I62" i="18"/>
  <c r="K41" i="19"/>
  <c r="I43" i="18"/>
  <c r="I60" i="18"/>
  <c r="I53" i="18"/>
  <c r="K12" i="21"/>
  <c r="I44" i="21"/>
  <c r="I33" i="21"/>
  <c r="I39" i="18"/>
  <c r="I64" i="18"/>
  <c r="I58" i="18"/>
  <c r="I68" i="18"/>
  <c r="I61" i="18"/>
  <c r="K62" i="19"/>
  <c r="I65" i="18"/>
  <c r="I47" i="18"/>
  <c r="I63" i="21"/>
  <c r="K56" i="18"/>
  <c r="M37" i="21"/>
  <c r="M29" i="21"/>
  <c r="I20" i="21"/>
  <c r="I24" i="21"/>
  <c r="I26" i="21"/>
  <c r="I18" i="21"/>
  <c r="M35" i="21"/>
  <c r="M25" i="21"/>
  <c r="I30" i="21"/>
  <c r="I32" i="21"/>
  <c r="M39" i="21"/>
  <c r="M15" i="21"/>
  <c r="M12" i="21"/>
  <c r="I10" i="21"/>
  <c r="I42" i="21"/>
  <c r="I11" i="21"/>
  <c r="I19" i="21"/>
  <c r="I49" i="21"/>
  <c r="I13" i="21"/>
  <c r="I61" i="21"/>
  <c r="I41" i="21"/>
  <c r="I43" i="21"/>
  <c r="I59" i="21"/>
  <c r="I56" i="21"/>
  <c r="M19" i="21"/>
  <c r="M64" i="21"/>
  <c r="M42" i="21"/>
  <c r="M28" i="21"/>
  <c r="M20" i="21"/>
  <c r="M58" i="21"/>
  <c r="K61" i="18"/>
  <c r="K45" i="18"/>
  <c r="K52" i="18"/>
  <c r="K67" i="18"/>
  <c r="K53" i="18"/>
  <c r="K41" i="18"/>
  <c r="K50" i="18"/>
  <c r="P28" i="20"/>
  <c r="P29" i="20"/>
  <c r="P7" i="20"/>
  <c r="P54" i="20"/>
  <c r="P64" i="20"/>
  <c r="P22" i="20"/>
  <c r="P27" i="20"/>
  <c r="P61" i="20"/>
  <c r="P56" i="20"/>
  <c r="P59" i="20"/>
  <c r="I52" i="21"/>
  <c r="K66" i="18"/>
  <c r="K62" i="18"/>
  <c r="M49" i="21"/>
  <c r="M11" i="21"/>
  <c r="I25" i="21"/>
  <c r="M36" i="21"/>
  <c r="I38" i="21"/>
  <c r="I12" i="21"/>
  <c r="M65" i="21"/>
  <c r="M23" i="21"/>
  <c r="I40" i="21"/>
  <c r="I64" i="21"/>
  <c r="M31" i="21"/>
  <c r="M7" i="21"/>
  <c r="M24" i="21"/>
  <c r="M18" i="21"/>
  <c r="M50" i="21"/>
  <c r="I7" i="21"/>
  <c r="I37" i="21"/>
  <c r="I53" i="21"/>
  <c r="I17" i="21"/>
  <c r="I27" i="21"/>
  <c r="I57" i="21"/>
  <c r="I47" i="21"/>
  <c r="I60" i="21"/>
  <c r="M51" i="21"/>
  <c r="M26" i="21"/>
  <c r="M53" i="21"/>
  <c r="M56" i="21"/>
  <c r="M52" i="21"/>
  <c r="M54" i="21"/>
  <c r="K39" i="18"/>
  <c r="K68" i="18"/>
  <c r="K65" i="18"/>
  <c r="M62" i="21"/>
  <c r="K54" i="18"/>
  <c r="K59" i="18"/>
  <c r="K47" i="18"/>
  <c r="P6" i="20"/>
  <c r="P58" i="20"/>
  <c r="P21" i="20"/>
  <c r="P49" i="20"/>
  <c r="P26" i="20"/>
  <c r="P44" i="20"/>
  <c r="P9" i="20"/>
  <c r="P66" i="20"/>
  <c r="P23" i="20"/>
  <c r="P8" i="20"/>
  <c r="Q8" i="20" s="1"/>
  <c r="X8" i="20" s="1"/>
  <c r="W21" i="17" s="1"/>
  <c r="P19" i="20"/>
  <c r="K63" i="18"/>
  <c r="K46" i="18"/>
  <c r="M21" i="21"/>
  <c r="I6" i="21"/>
  <c r="I14" i="21"/>
  <c r="I62" i="21"/>
  <c r="I54" i="21"/>
  <c r="I34" i="21"/>
  <c r="M17" i="21"/>
  <c r="M10" i="21"/>
  <c r="I48" i="21"/>
  <c r="M57" i="21"/>
  <c r="I8" i="21"/>
  <c r="M6" i="21"/>
  <c r="M32" i="21"/>
  <c r="I23" i="21"/>
  <c r="I29" i="21"/>
  <c r="I5" i="21"/>
  <c r="I21" i="21"/>
  <c r="I31" i="21"/>
  <c r="I65" i="21"/>
  <c r="I51" i="21"/>
  <c r="M9" i="21"/>
  <c r="M44" i="21"/>
  <c r="M14" i="21"/>
  <c r="M27" i="21"/>
  <c r="M30" i="21"/>
  <c r="M38" i="21"/>
  <c r="K55" i="18"/>
  <c r="K48" i="18"/>
  <c r="K42" i="18"/>
  <c r="K51" i="18"/>
  <c r="P33" i="20"/>
  <c r="P48" i="20"/>
  <c r="P13" i="20"/>
  <c r="P57" i="20"/>
  <c r="P39" i="20"/>
  <c r="P12" i="20"/>
  <c r="P32" i="20"/>
  <c r="P11" i="20"/>
  <c r="P5" i="20"/>
  <c r="P10" i="20"/>
  <c r="K8" i="21"/>
  <c r="K24" i="21"/>
  <c r="K16" i="21"/>
  <c r="K48" i="21"/>
  <c r="K26" i="21"/>
  <c r="K58" i="21"/>
  <c r="K9" i="21"/>
  <c r="K35" i="21"/>
  <c r="K11" i="21"/>
  <c r="K39" i="21"/>
  <c r="K29" i="21"/>
  <c r="K37" i="21"/>
  <c r="K53" i="21"/>
  <c r="K28" i="21"/>
  <c r="K50" i="21"/>
  <c r="K14" i="21"/>
  <c r="K34" i="21"/>
  <c r="K65" i="21"/>
  <c r="K32" i="21"/>
  <c r="K36" i="21"/>
  <c r="K5" i="21"/>
  <c r="K13" i="21"/>
  <c r="K43" i="21"/>
  <c r="K15" i="21"/>
  <c r="K55" i="21"/>
  <c r="K33" i="21"/>
  <c r="K41" i="21"/>
  <c r="K57" i="21"/>
  <c r="K64" i="21"/>
  <c r="K44" i="21"/>
  <c r="K52" i="21"/>
  <c r="K10" i="21"/>
  <c r="K46" i="21"/>
  <c r="K22" i="21"/>
  <c r="K56" i="21"/>
  <c r="K21" i="21"/>
  <c r="K27" i="21"/>
  <c r="K59" i="21"/>
  <c r="K19" i="21"/>
  <c r="K47" i="21"/>
  <c r="K51" i="21"/>
  <c r="K45" i="21"/>
  <c r="K61" i="21"/>
  <c r="AU32" i="17"/>
  <c r="AU21" i="17"/>
  <c r="AU55" i="17"/>
  <c r="AU23" i="17"/>
  <c r="AU37" i="17"/>
  <c r="AU51" i="17"/>
  <c r="AU67" i="17"/>
  <c r="AU17" i="17"/>
  <c r="AU26" i="17"/>
  <c r="AU34" i="17"/>
  <c r="AU15" i="17"/>
  <c r="AU35" i="17"/>
  <c r="AU40" i="17"/>
  <c r="AU12" i="17"/>
  <c r="AU27" i="17"/>
  <c r="BC21" i="17"/>
  <c r="BC53" i="17"/>
  <c r="BC18" i="17"/>
  <c r="BC50" i="17"/>
  <c r="AE17" i="17"/>
  <c r="AE33" i="17"/>
  <c r="AE49" i="17"/>
  <c r="AE63" i="17"/>
  <c r="BC28" i="17"/>
  <c r="AE15" i="17"/>
  <c r="AE39" i="17"/>
  <c r="AE58" i="17"/>
  <c r="AE54" i="17"/>
  <c r="AE53" i="17"/>
  <c r="AE61" i="17"/>
  <c r="AE67" i="17"/>
  <c r="AE60" i="17"/>
  <c r="AE68" i="17"/>
  <c r="AE50" i="17"/>
  <c r="AE52" i="17"/>
  <c r="AE62" i="17"/>
  <c r="AE69" i="17"/>
  <c r="AE9" i="17"/>
  <c r="AE56" i="17"/>
  <c r="AE64" i="17"/>
  <c r="AE51" i="17"/>
  <c r="AE59" i="17"/>
  <c r="AE66" i="17"/>
  <c r="AE70" i="17"/>
  <c r="BC57" i="17"/>
  <c r="BC22" i="17"/>
  <c r="BC54" i="17"/>
  <c r="AE21" i="17"/>
  <c r="AE37" i="17"/>
  <c r="BC35" i="17"/>
  <c r="BC67" i="17"/>
  <c r="BC40" i="17"/>
  <c r="AE27" i="17"/>
  <c r="AE43" i="17"/>
  <c r="AE65" i="17"/>
  <c r="AU22" i="17"/>
  <c r="AU36" i="17"/>
  <c r="AU11" i="17"/>
  <c r="AU9" i="17"/>
  <c r="AU52" i="17"/>
  <c r="AU57" i="17"/>
  <c r="AU56" i="17"/>
  <c r="AU20" i="17"/>
  <c r="AU45" i="17"/>
  <c r="AU38" i="17"/>
  <c r="AU13" i="17"/>
  <c r="AU46" i="17"/>
  <c r="AU54" i="17"/>
  <c r="AU50" i="17"/>
  <c r="BC29" i="17"/>
  <c r="BC61" i="17"/>
  <c r="BC26" i="17"/>
  <c r="BC58" i="17"/>
  <c r="AE22" i="17"/>
  <c r="AE38" i="17"/>
  <c r="AE12" i="17"/>
  <c r="BC36" i="17"/>
  <c r="AE23" i="17"/>
  <c r="AE44" i="17"/>
  <c r="BC25" i="17"/>
  <c r="BC65" i="17"/>
  <c r="BC30" i="17"/>
  <c r="BC66" i="17"/>
  <c r="AE10" i="17"/>
  <c r="AE26" i="17"/>
  <c r="AE42" i="17"/>
  <c r="BC43" i="17"/>
  <c r="BC16" i="17"/>
  <c r="BC48" i="17"/>
  <c r="AE32" i="17"/>
  <c r="AE48" i="17"/>
  <c r="BC37" i="17"/>
  <c r="BC69" i="17"/>
  <c r="BC34" i="17"/>
  <c r="AE25" i="17"/>
  <c r="AE41" i="17"/>
  <c r="AE28" i="17"/>
  <c r="BC12" i="17"/>
  <c r="BC44" i="17"/>
  <c r="AE31" i="17"/>
  <c r="AE47" i="17"/>
  <c r="BC33" i="17"/>
  <c r="BC39" i="17"/>
  <c r="BC38" i="17"/>
  <c r="AE13" i="17"/>
  <c r="AE29" i="17"/>
  <c r="AE45" i="17"/>
  <c r="BC11" i="17"/>
  <c r="BC51" i="17"/>
  <c r="BC24" i="17"/>
  <c r="BC56" i="17"/>
  <c r="AE11" i="17"/>
  <c r="AE35" i="17"/>
  <c r="AE16" i="17"/>
  <c r="BC45" i="17"/>
  <c r="BC62" i="17"/>
  <c r="BC68" i="17"/>
  <c r="BC64" i="17"/>
  <c r="BC10" i="17"/>
  <c r="BC41" i="17"/>
  <c r="BC63" i="17"/>
  <c r="BC15" i="17"/>
  <c r="BC60" i="17"/>
  <c r="BC55" i="17"/>
  <c r="BC19" i="17"/>
  <c r="BC23" i="17"/>
  <c r="BC70" i="17"/>
  <c r="BC9" i="17"/>
  <c r="BC17" i="17"/>
  <c r="BC47" i="17"/>
  <c r="BC31" i="17"/>
  <c r="BC42" i="17"/>
  <c r="AE30" i="17"/>
  <c r="AE46" i="17"/>
  <c r="AE55" i="17"/>
  <c r="BC20" i="17"/>
  <c r="BC52" i="17"/>
  <c r="AE36" i="17"/>
  <c r="AE24" i="17"/>
  <c r="BC49" i="17"/>
  <c r="BC14" i="17"/>
  <c r="BC46" i="17"/>
  <c r="AE18" i="17"/>
  <c r="AE34" i="17"/>
  <c r="AE20" i="17"/>
  <c r="BC27" i="17"/>
  <c r="BC59" i="17"/>
  <c r="BC32" i="17"/>
  <c r="AE19" i="17"/>
  <c r="AE40" i="17"/>
  <c r="AE57" i="17"/>
  <c r="L33" i="18"/>
  <c r="S33" i="18" s="1"/>
  <c r="I11" i="17" s="1"/>
  <c r="N60" i="16"/>
  <c r="U60" i="16" s="1"/>
  <c r="AN63" i="9" s="1"/>
  <c r="N59" i="16"/>
  <c r="U59" i="16" s="1"/>
  <c r="AN60" i="9" s="1"/>
  <c r="N32" i="16"/>
  <c r="U32" i="16" s="1"/>
  <c r="AN14" i="9" s="1"/>
  <c r="N15" i="16"/>
  <c r="U15" i="16" s="1"/>
  <c r="AN34" i="9" s="1"/>
  <c r="N30" i="16"/>
  <c r="U30" i="16" s="1"/>
  <c r="AN15" i="9" s="1"/>
  <c r="N19" i="16"/>
  <c r="U19" i="16" s="1"/>
  <c r="AN45" i="9" s="1"/>
  <c r="N34" i="16"/>
  <c r="U34" i="16" s="1"/>
  <c r="AN12" i="9" s="1"/>
  <c r="N21" i="16"/>
  <c r="U21" i="16" s="1"/>
  <c r="AN52" i="9" s="1"/>
  <c r="N42" i="16"/>
  <c r="U42" i="16" s="1"/>
  <c r="AN28" i="9" s="1"/>
  <c r="N14" i="16"/>
  <c r="U14" i="16" s="1"/>
  <c r="AN35" i="9" s="1"/>
  <c r="N24" i="16"/>
  <c r="U24" i="16" s="1"/>
  <c r="AN55" i="9" s="1"/>
  <c r="N27" i="16"/>
  <c r="U27" i="16" s="1"/>
  <c r="AN61" i="9" s="1"/>
  <c r="N40" i="16"/>
  <c r="U40" i="16" s="1"/>
  <c r="AN25" i="9" s="1"/>
  <c r="N20" i="16"/>
  <c r="U20" i="16" s="1"/>
  <c r="AN50" i="9" s="1"/>
  <c r="N5" i="16"/>
  <c r="U5" i="16" s="1"/>
  <c r="AN9" i="9" s="1"/>
  <c r="N50" i="16"/>
  <c r="U50" i="16" s="1"/>
  <c r="AN41" i="9" s="1"/>
  <c r="N51" i="16"/>
  <c r="U51" i="16" s="1"/>
  <c r="AN44" i="9" s="1"/>
  <c r="N54" i="16"/>
  <c r="U54" i="16" s="1"/>
  <c r="AN39" i="9" s="1"/>
  <c r="N48" i="16"/>
  <c r="U48" i="16" s="1"/>
  <c r="AN59" i="9" s="1"/>
  <c r="N45" i="16"/>
  <c r="U45" i="16" s="1"/>
  <c r="AN33" i="9" s="1"/>
  <c r="N47" i="16"/>
  <c r="U47" i="16" s="1"/>
  <c r="AN36" i="9" s="1"/>
  <c r="N52" i="16"/>
  <c r="U52" i="16" s="1"/>
  <c r="AN43" i="9" s="1"/>
  <c r="N6" i="16"/>
  <c r="U6" i="16" s="1"/>
  <c r="AN13" i="9" s="1"/>
  <c r="N8" i="16"/>
  <c r="U8" i="16" s="1"/>
  <c r="AN21" i="9" s="1"/>
  <c r="N26" i="16"/>
  <c r="U26" i="16" s="1"/>
  <c r="AN57" i="9" s="1"/>
  <c r="N10" i="16"/>
  <c r="U10" i="16" s="1"/>
  <c r="AN24" i="9" s="1"/>
  <c r="N57" i="16"/>
  <c r="U57" i="16" s="1"/>
  <c r="AN47" i="9" s="1"/>
  <c r="N46" i="16"/>
  <c r="U46" i="16" s="1"/>
  <c r="AN16" i="9" s="1"/>
  <c r="N18" i="16"/>
  <c r="U18" i="16" s="1"/>
  <c r="AN46" i="9" s="1"/>
  <c r="N66" i="16"/>
  <c r="U66" i="16" s="1"/>
  <c r="AN70" i="9" s="1"/>
  <c r="N36" i="16"/>
  <c r="U36" i="16" s="1"/>
  <c r="AN17" i="9" s="1"/>
  <c r="N11" i="16"/>
  <c r="U11" i="16" s="1"/>
  <c r="AN26" i="9" s="1"/>
  <c r="N31" i="16"/>
  <c r="U31" i="16" s="1"/>
  <c r="AN11" i="9" s="1"/>
  <c r="N7" i="16"/>
  <c r="U7" i="16" s="1"/>
  <c r="AN18" i="9" s="1"/>
  <c r="N35" i="16"/>
  <c r="U35" i="16" s="1"/>
  <c r="AN20" i="9" s="1"/>
  <c r="N41" i="16"/>
  <c r="U41" i="16" s="1"/>
  <c r="AN27" i="9" s="1"/>
  <c r="N62" i="16"/>
  <c r="U62" i="16" s="1"/>
  <c r="AN65" i="9" s="1"/>
  <c r="N61" i="16"/>
  <c r="U61" i="16" s="1"/>
  <c r="AN62" i="9" s="1"/>
  <c r="N22" i="16"/>
  <c r="U22" i="16" s="1"/>
  <c r="AN53" i="9" s="1"/>
  <c r="N28" i="16"/>
  <c r="U28" i="16" s="1"/>
  <c r="AN64" i="9" s="1"/>
  <c r="N38" i="16"/>
  <c r="U38" i="16" s="1"/>
  <c r="AN22" i="9" s="1"/>
  <c r="N12" i="16"/>
  <c r="U12" i="16" s="1"/>
  <c r="AN30" i="9" s="1"/>
  <c r="N53" i="16"/>
  <c r="N63" i="16"/>
  <c r="U63" i="16" s="1"/>
  <c r="AN67" i="9" s="1"/>
  <c r="N13" i="16"/>
  <c r="U13" i="16" s="1"/>
  <c r="AN32" i="9" s="1"/>
  <c r="N9" i="16"/>
  <c r="U9" i="16" s="1"/>
  <c r="AN58" i="9" s="1"/>
  <c r="N39" i="16"/>
  <c r="U39" i="16" s="1"/>
  <c r="AN23" i="9" s="1"/>
  <c r="N17" i="16"/>
  <c r="U17" i="16" s="1"/>
  <c r="AN40" i="9" s="1"/>
  <c r="N43" i="16"/>
  <c r="U43" i="16" s="1"/>
  <c r="AN29" i="9" s="1"/>
  <c r="N49" i="16"/>
  <c r="U49" i="16" s="1"/>
  <c r="AN42" i="9" s="1"/>
  <c r="N16" i="16"/>
  <c r="U16" i="16" s="1"/>
  <c r="AN37" i="9" s="1"/>
  <c r="N37" i="16"/>
  <c r="U37" i="16" s="1"/>
  <c r="AN19" i="9" s="1"/>
  <c r="N55" i="16"/>
  <c r="U55" i="16" s="1"/>
  <c r="AN48" i="9" s="1"/>
  <c r="N65" i="16"/>
  <c r="U65" i="16" s="1"/>
  <c r="AN69" i="9" s="1"/>
  <c r="N56" i="16"/>
  <c r="U56" i="16" s="1"/>
  <c r="AN49" i="9" s="1"/>
  <c r="N44" i="16"/>
  <c r="U44" i="16" s="1"/>
  <c r="AN31" i="9" s="1"/>
  <c r="N29" i="16"/>
  <c r="U29" i="16" s="1"/>
  <c r="AN66" i="9" s="1"/>
  <c r="N33" i="16"/>
  <c r="U33" i="16" s="1"/>
  <c r="AN10" i="9" s="1"/>
  <c r="N23" i="16"/>
  <c r="U23" i="16" s="1"/>
  <c r="AN54" i="9" s="1"/>
  <c r="N25" i="16"/>
  <c r="U25" i="16" s="1"/>
  <c r="AN56" i="9" s="1"/>
  <c r="U53" i="16"/>
  <c r="AN38" i="9" s="1"/>
  <c r="U64" i="16"/>
  <c r="AN68" i="9" s="1"/>
  <c r="X13" i="15"/>
  <c r="W32" i="9" s="1"/>
  <c r="X50" i="15"/>
  <c r="W41" i="9" s="1"/>
  <c r="X8" i="15"/>
  <c r="W21" i="9" s="1"/>
  <c r="L10" i="15"/>
  <c r="X10" i="15" s="1"/>
  <c r="W24" i="9" s="1"/>
  <c r="Q39" i="15"/>
  <c r="L61" i="15"/>
  <c r="L45" i="15"/>
  <c r="Q38" i="15"/>
  <c r="Q55" i="15"/>
  <c r="Q36" i="15"/>
  <c r="Q58" i="15"/>
  <c r="Q17" i="15"/>
  <c r="Q19" i="15"/>
  <c r="Q62" i="15"/>
  <c r="Q30" i="15"/>
  <c r="L47" i="15"/>
  <c r="Q34" i="15"/>
  <c r="L26" i="15"/>
  <c r="L28" i="15"/>
  <c r="L59" i="15"/>
  <c r="Q42" i="15"/>
  <c r="Q14" i="15"/>
  <c r="Q24" i="15"/>
  <c r="Q53" i="15"/>
  <c r="Q49" i="15"/>
  <c r="Q43" i="15"/>
  <c r="Q20" i="15"/>
  <c r="Q18" i="15"/>
  <c r="L40" i="15"/>
  <c r="L66" i="15"/>
  <c r="L43" i="15"/>
  <c r="Q46" i="15"/>
  <c r="L55" i="15"/>
  <c r="Q37" i="15"/>
  <c r="Q31" i="15"/>
  <c r="Q63" i="15"/>
  <c r="Q33" i="15"/>
  <c r="Q27" i="15"/>
  <c r="Q61" i="15"/>
  <c r="Q7" i="15"/>
  <c r="Q59" i="15"/>
  <c r="Q6" i="15"/>
  <c r="Q57" i="15"/>
  <c r="L27" i="15"/>
  <c r="Q29" i="15"/>
  <c r="Q21" i="15"/>
  <c r="Q5" i="15"/>
  <c r="Q51" i="15"/>
  <c r="Q44" i="15"/>
  <c r="Q9" i="15"/>
  <c r="Q15" i="15"/>
  <c r="Q47" i="15"/>
  <c r="Q28" i="15"/>
  <c r="Q11" i="15"/>
  <c r="Q12" i="15"/>
  <c r="Q25" i="15"/>
  <c r="Q48" i="15"/>
  <c r="Q66" i="15"/>
  <c r="Q54" i="15"/>
  <c r="Q32" i="15"/>
  <c r="Q65" i="15"/>
  <c r="Q60" i="15"/>
  <c r="Q16" i="15"/>
  <c r="Q23" i="15"/>
  <c r="Q64" i="15"/>
  <c r="Q45" i="15"/>
  <c r="L32" i="15"/>
  <c r="L53" i="15"/>
  <c r="L19" i="15"/>
  <c r="L22" i="15"/>
  <c r="L15" i="15"/>
  <c r="L56" i="15"/>
  <c r="L49" i="15"/>
  <c r="L34" i="15"/>
  <c r="L7" i="15"/>
  <c r="L60" i="15"/>
  <c r="L37" i="15"/>
  <c r="L6" i="15"/>
  <c r="L36" i="15"/>
  <c r="L24" i="15"/>
  <c r="L62" i="15"/>
  <c r="L25" i="15"/>
  <c r="L46" i="15"/>
  <c r="L64" i="15"/>
  <c r="L11" i="15"/>
  <c r="L14" i="15"/>
  <c r="L9" i="15"/>
  <c r="L39" i="15"/>
  <c r="L42" i="15"/>
  <c r="L58" i="15"/>
  <c r="L21" i="15"/>
  <c r="L51" i="15"/>
  <c r="L54" i="15"/>
  <c r="L31" i="15"/>
  <c r="L41" i="15"/>
  <c r="L17" i="15"/>
  <c r="L20" i="15"/>
  <c r="L65" i="15"/>
  <c r="L48" i="15"/>
  <c r="L57" i="15"/>
  <c r="L23" i="15"/>
  <c r="L35" i="15"/>
  <c r="L38" i="15"/>
  <c r="L33" i="15"/>
  <c r="L52" i="15"/>
  <c r="L5" i="15"/>
  <c r="L41" i="14"/>
  <c r="L37" i="14"/>
  <c r="L61" i="14"/>
  <c r="L65" i="14"/>
  <c r="L10" i="14"/>
  <c r="L57" i="14"/>
  <c r="L15" i="14"/>
  <c r="L60" i="14"/>
  <c r="L11" i="14"/>
  <c r="L43" i="14"/>
  <c r="L39" i="14"/>
  <c r="L27" i="14"/>
  <c r="L53" i="14"/>
  <c r="L13" i="14"/>
  <c r="L55" i="14"/>
  <c r="L48" i="14"/>
  <c r="L23" i="14"/>
  <c r="L19" i="14"/>
  <c r="L38" i="14"/>
  <c r="L52" i="14"/>
  <c r="L9" i="14"/>
  <c r="L50" i="14"/>
  <c r="L56" i="14"/>
  <c r="L34" i="14"/>
  <c r="L32" i="14"/>
  <c r="L7" i="14"/>
  <c r="L58" i="14"/>
  <c r="L47" i="14"/>
  <c r="L42" i="14"/>
  <c r="L40" i="14"/>
  <c r="L35" i="14"/>
  <c r="L63" i="14"/>
  <c r="L6" i="14"/>
  <c r="L12" i="14"/>
  <c r="L44" i="14"/>
  <c r="L22" i="14"/>
  <c r="L18" i="14"/>
  <c r="L30" i="14"/>
  <c r="L49" i="14"/>
  <c r="L17" i="14"/>
  <c r="L8" i="14"/>
  <c r="L29" i="14"/>
  <c r="L21" i="14"/>
  <c r="L25" i="14"/>
  <c r="L26" i="14"/>
  <c r="L59" i="14"/>
  <c r="L66" i="14"/>
  <c r="L64" i="14"/>
  <c r="L62" i="14"/>
  <c r="L54" i="14"/>
  <c r="L45" i="14"/>
  <c r="L24" i="14"/>
  <c r="L46" i="14"/>
  <c r="L14" i="14"/>
  <c r="L33" i="14"/>
  <c r="L51" i="14"/>
  <c r="L20" i="14"/>
  <c r="L16" i="14"/>
  <c r="L28" i="14"/>
  <c r="L31" i="14"/>
  <c r="L36" i="14"/>
  <c r="L5" i="14"/>
  <c r="AU4" i="17" l="1"/>
  <c r="BC4" i="17"/>
  <c r="AE4" i="17"/>
  <c r="BG4" i="17"/>
  <c r="I13" i="18"/>
  <c r="L13" i="18" s="1"/>
  <c r="S13" i="18" s="1"/>
  <c r="I26" i="17" s="1"/>
  <c r="I30" i="18"/>
  <c r="L30" i="18" s="1"/>
  <c r="S30" i="18" s="1"/>
  <c r="I64" i="17" s="1"/>
  <c r="Q17" i="20"/>
  <c r="K29" i="19"/>
  <c r="K12" i="19"/>
  <c r="L5" i="20"/>
  <c r="K53" i="19"/>
  <c r="K32" i="19"/>
  <c r="L32" i="19" s="1"/>
  <c r="S32" i="19" s="1"/>
  <c r="P14" i="17" s="1"/>
  <c r="K50" i="19"/>
  <c r="K26" i="19"/>
  <c r="K40" i="19"/>
  <c r="K7" i="19"/>
  <c r="L7" i="19" s="1"/>
  <c r="S7" i="19" s="1"/>
  <c r="P18" i="17" s="1"/>
  <c r="K27" i="19"/>
  <c r="L27" i="19" s="1"/>
  <c r="S27" i="19" s="1"/>
  <c r="P61" i="17" s="1"/>
  <c r="K56" i="19"/>
  <c r="L56" i="19" s="1"/>
  <c r="S56" i="19" s="1"/>
  <c r="P49" i="17" s="1"/>
  <c r="K61" i="19"/>
  <c r="K35" i="19"/>
  <c r="L35" i="19" s="1"/>
  <c r="S35" i="19" s="1"/>
  <c r="P20" i="17" s="1"/>
  <c r="K63" i="19"/>
  <c r="K47" i="19"/>
  <c r="L47" i="19" s="1"/>
  <c r="S47" i="19" s="1"/>
  <c r="P36" i="17" s="1"/>
  <c r="K19" i="19"/>
  <c r="L19" i="19" s="1"/>
  <c r="S19" i="19" s="1"/>
  <c r="P45" i="17" s="1"/>
  <c r="K14" i="19"/>
  <c r="K15" i="19"/>
  <c r="L30" i="19"/>
  <c r="S30" i="19" s="1"/>
  <c r="P15" i="17" s="1"/>
  <c r="K34" i="19"/>
  <c r="L34" i="19" s="1"/>
  <c r="S34" i="19" s="1"/>
  <c r="P12" i="17" s="1"/>
  <c r="K16" i="19"/>
  <c r="L16" i="19" s="1"/>
  <c r="S16" i="19" s="1"/>
  <c r="P37" i="17" s="1"/>
  <c r="K17" i="19"/>
  <c r="K57" i="19"/>
  <c r="K38" i="19"/>
  <c r="K9" i="19"/>
  <c r="K28" i="19"/>
  <c r="K37" i="19"/>
  <c r="K6" i="19"/>
  <c r="K64" i="19"/>
  <c r="K33" i="19"/>
  <c r="K13" i="19"/>
  <c r="L37" i="20"/>
  <c r="K52" i="19"/>
  <c r="L52" i="19" s="1"/>
  <c r="S52" i="19" s="1"/>
  <c r="P43" i="17" s="1"/>
  <c r="K46" i="19"/>
  <c r="K55" i="19"/>
  <c r="L55" i="19" s="1"/>
  <c r="S55" i="19" s="1"/>
  <c r="P48" i="17" s="1"/>
  <c r="K42" i="19"/>
  <c r="L42" i="19" s="1"/>
  <c r="S42" i="19" s="1"/>
  <c r="P28" i="17" s="1"/>
  <c r="K5" i="19"/>
  <c r="L5" i="19" s="1"/>
  <c r="S5" i="19" s="1"/>
  <c r="P9" i="17" s="1"/>
  <c r="K51" i="19"/>
  <c r="K11" i="19"/>
  <c r="K21" i="19"/>
  <c r="K24" i="19"/>
  <c r="L45" i="20"/>
  <c r="K25" i="19"/>
  <c r="L25" i="19" s="1"/>
  <c r="S25" i="19" s="1"/>
  <c r="P56" i="17" s="1"/>
  <c r="K45" i="19"/>
  <c r="L45" i="19" s="1"/>
  <c r="S45" i="19" s="1"/>
  <c r="P33" i="17" s="1"/>
  <c r="K22" i="19"/>
  <c r="L22" i="19" s="1"/>
  <c r="S22" i="19" s="1"/>
  <c r="P53" i="17" s="1"/>
  <c r="K59" i="19"/>
  <c r="L59" i="19" s="1"/>
  <c r="S59" i="19" s="1"/>
  <c r="P60" i="17" s="1"/>
  <c r="Q32" i="20"/>
  <c r="Q13" i="20"/>
  <c r="Q58" i="20"/>
  <c r="L54" i="18"/>
  <c r="S54" i="18" s="1"/>
  <c r="I43" i="17" s="1"/>
  <c r="Q27" i="20"/>
  <c r="K10" i="19"/>
  <c r="K48" i="19"/>
  <c r="K23" i="19"/>
  <c r="K43" i="19"/>
  <c r="K60" i="19"/>
  <c r="K58" i="19"/>
  <c r="K66" i="19"/>
  <c r="K8" i="19"/>
  <c r="K44" i="19"/>
  <c r="K65" i="19"/>
  <c r="L40" i="20"/>
  <c r="X40" i="20" s="1"/>
  <c r="W25" i="17" s="1"/>
  <c r="K54" i="19"/>
  <c r="L54" i="19" s="1"/>
  <c r="S54" i="19" s="1"/>
  <c r="P39" i="17" s="1"/>
  <c r="K39" i="19"/>
  <c r="L39" i="19" s="1"/>
  <c r="S39" i="19" s="1"/>
  <c r="P23" i="17" s="1"/>
  <c r="K18" i="19"/>
  <c r="L18" i="19" s="1"/>
  <c r="S18" i="19" s="1"/>
  <c r="P46" i="17" s="1"/>
  <c r="K31" i="19"/>
  <c r="L31" i="19" s="1"/>
  <c r="S31" i="19" s="1"/>
  <c r="P11" i="17" s="1"/>
  <c r="K49" i="19"/>
  <c r="L49" i="19" s="1"/>
  <c r="S49" i="19" s="1"/>
  <c r="P42" i="17" s="1"/>
  <c r="K36" i="19"/>
  <c r="L36" i="19" s="1"/>
  <c r="S36" i="19" s="1"/>
  <c r="P17" i="17" s="1"/>
  <c r="K20" i="19"/>
  <c r="L20" i="19" s="1"/>
  <c r="S20" i="19" s="1"/>
  <c r="P50" i="17" s="1"/>
  <c r="I31" i="18"/>
  <c r="L31" i="18" s="1"/>
  <c r="S31" i="18" s="1"/>
  <c r="I66" i="17" s="1"/>
  <c r="L36" i="18"/>
  <c r="S36" i="18" s="1"/>
  <c r="I12" i="17" s="1"/>
  <c r="I27" i="18"/>
  <c r="L27" i="18" s="1"/>
  <c r="S27" i="18" s="1"/>
  <c r="I56" i="17" s="1"/>
  <c r="L53" i="20"/>
  <c r="L52" i="20"/>
  <c r="Q43" i="20"/>
  <c r="I24" i="18"/>
  <c r="L24" i="18" s="1"/>
  <c r="S24" i="18" s="1"/>
  <c r="I53" i="17" s="1"/>
  <c r="I22" i="18"/>
  <c r="L22" i="18" s="1"/>
  <c r="S22" i="18" s="1"/>
  <c r="I50" i="17" s="1"/>
  <c r="I14" i="18"/>
  <c r="L14" i="18" s="1"/>
  <c r="S14" i="18" s="1"/>
  <c r="I30" i="17" s="1"/>
  <c r="I28" i="18"/>
  <c r="L64" i="20"/>
  <c r="I17" i="18"/>
  <c r="L17" i="18" s="1"/>
  <c r="S17" i="18" s="1"/>
  <c r="I34" i="17" s="1"/>
  <c r="I12" i="18"/>
  <c r="L12" i="18" s="1"/>
  <c r="S12" i="18" s="1"/>
  <c r="I24" i="17" s="1"/>
  <c r="I20" i="18"/>
  <c r="L20" i="18" s="1"/>
  <c r="S20" i="18" s="1"/>
  <c r="I46" i="17" s="1"/>
  <c r="I7" i="18"/>
  <c r="L7" i="18" s="1"/>
  <c r="S7" i="18" s="1"/>
  <c r="I9" i="17" s="1"/>
  <c r="Q63" i="20"/>
  <c r="Q33" i="20"/>
  <c r="Q66" i="20"/>
  <c r="I21" i="18"/>
  <c r="L21" i="18" s="1"/>
  <c r="S21" i="18" s="1"/>
  <c r="I45" i="17" s="1"/>
  <c r="I10" i="18"/>
  <c r="L10" i="18" s="1"/>
  <c r="S10" i="18" s="1"/>
  <c r="I21" i="17" s="1"/>
  <c r="I11" i="18"/>
  <c r="L11" i="18" s="1"/>
  <c r="S11" i="18" s="1"/>
  <c r="I58" i="17" s="1"/>
  <c r="I9" i="18"/>
  <c r="L9" i="18" s="1"/>
  <c r="S9" i="18" s="1"/>
  <c r="I18" i="17" s="1"/>
  <c r="L58" i="20"/>
  <c r="I25" i="18"/>
  <c r="L25" i="18" s="1"/>
  <c r="S25" i="18" s="1"/>
  <c r="I54" i="17" s="1"/>
  <c r="L22" i="20"/>
  <c r="Q25" i="20"/>
  <c r="L50" i="20"/>
  <c r="X50" i="20" s="1"/>
  <c r="W41" i="17" s="1"/>
  <c r="I50" i="19"/>
  <c r="Q10" i="20"/>
  <c r="Q6" i="20"/>
  <c r="Q22" i="20"/>
  <c r="I26" i="19"/>
  <c r="I38" i="19"/>
  <c r="I14" i="19"/>
  <c r="L28" i="20"/>
  <c r="L23" i="20"/>
  <c r="L48" i="20"/>
  <c r="L39" i="20"/>
  <c r="L11" i="20"/>
  <c r="L49" i="20"/>
  <c r="I41" i="19"/>
  <c r="I40" i="19"/>
  <c r="I61" i="19"/>
  <c r="I62" i="19"/>
  <c r="L62" i="19" s="1"/>
  <c r="S62" i="19" s="1"/>
  <c r="P65" i="17" s="1"/>
  <c r="I8" i="19"/>
  <c r="I57" i="19"/>
  <c r="Q48" i="20"/>
  <c r="Q39" i="20"/>
  <c r="L59" i="20"/>
  <c r="L54" i="20"/>
  <c r="L61" i="20"/>
  <c r="Q16" i="20"/>
  <c r="L16" i="20"/>
  <c r="L44" i="20"/>
  <c r="Q38" i="20"/>
  <c r="Q30" i="20"/>
  <c r="L58" i="18"/>
  <c r="S58" i="18" s="1"/>
  <c r="I49" i="17" s="1"/>
  <c r="L65" i="20"/>
  <c r="Q62" i="20"/>
  <c r="N7" i="21"/>
  <c r="U7" i="21" s="1"/>
  <c r="AN18" i="17" s="1"/>
  <c r="Q64" i="20"/>
  <c r="Q34" i="20"/>
  <c r="Q36" i="20"/>
  <c r="I21" i="19"/>
  <c r="Q28" i="20"/>
  <c r="L43" i="18"/>
  <c r="S43" i="18" s="1"/>
  <c r="I27" i="17" s="1"/>
  <c r="L27" i="20"/>
  <c r="Q55" i="20"/>
  <c r="L38" i="20"/>
  <c r="Q46" i="20"/>
  <c r="Q41" i="20"/>
  <c r="Q57" i="20"/>
  <c r="Q19" i="20"/>
  <c r="L52" i="18"/>
  <c r="S52" i="18" s="1"/>
  <c r="I41" i="17" s="1"/>
  <c r="L41" i="19"/>
  <c r="S41" i="19" s="1"/>
  <c r="P27" i="17" s="1"/>
  <c r="L37" i="18"/>
  <c r="S37" i="18" s="1"/>
  <c r="I20" i="17" s="1"/>
  <c r="L7" i="20"/>
  <c r="L63" i="20"/>
  <c r="L30" i="20"/>
  <c r="I15" i="19"/>
  <c r="I17" i="19"/>
  <c r="Q44" i="20"/>
  <c r="Q7" i="20"/>
  <c r="Q20" i="20"/>
  <c r="Q14" i="20"/>
  <c r="Q18" i="20"/>
  <c r="X18" i="20" s="1"/>
  <c r="W46" i="17" s="1"/>
  <c r="L19" i="20"/>
  <c r="I6" i="19"/>
  <c r="I37" i="19"/>
  <c r="I9" i="19"/>
  <c r="I23" i="19"/>
  <c r="I11" i="19"/>
  <c r="I63" i="19"/>
  <c r="I66" i="19"/>
  <c r="I12" i="19"/>
  <c r="I28" i="19"/>
  <c r="I58" i="19"/>
  <c r="I24" i="19"/>
  <c r="I44" i="19"/>
  <c r="I29" i="19"/>
  <c r="I60" i="19"/>
  <c r="I46" i="19"/>
  <c r="I53" i="19"/>
  <c r="I10" i="19"/>
  <c r="I13" i="19"/>
  <c r="I48" i="19"/>
  <c r="I33" i="19"/>
  <c r="I51" i="19"/>
  <c r="I65" i="19"/>
  <c r="I43" i="19"/>
  <c r="I64" i="19"/>
  <c r="Q47" i="20"/>
  <c r="Q12" i="20"/>
  <c r="X12" i="20" s="1"/>
  <c r="W30" i="17" s="1"/>
  <c r="Q23" i="20"/>
  <c r="Q26" i="20"/>
  <c r="L36" i="20"/>
  <c r="Q24" i="20"/>
  <c r="L33" i="20"/>
  <c r="Q59" i="20"/>
  <c r="Q51" i="20"/>
  <c r="Q45" i="20"/>
  <c r="L26" i="20"/>
  <c r="Q37" i="20"/>
  <c r="Q5" i="20"/>
  <c r="Q60" i="20"/>
  <c r="Q11" i="20"/>
  <c r="Q9" i="20"/>
  <c r="Q53" i="20"/>
  <c r="L17" i="20"/>
  <c r="L60" i="20"/>
  <c r="L9" i="20"/>
  <c r="L63" i="18"/>
  <c r="S63" i="18" s="1"/>
  <c r="I62" i="17" s="1"/>
  <c r="Q52" i="20"/>
  <c r="L6" i="20"/>
  <c r="L41" i="20"/>
  <c r="L25" i="20"/>
  <c r="L13" i="20"/>
  <c r="L15" i="20"/>
  <c r="L57" i="20"/>
  <c r="L42" i="20"/>
  <c r="N16" i="21"/>
  <c r="U16" i="21" s="1"/>
  <c r="AN37" i="17" s="1"/>
  <c r="L43" i="20"/>
  <c r="L32" i="20"/>
  <c r="L56" i="20"/>
  <c r="L20" i="20"/>
  <c r="L10" i="20"/>
  <c r="N63" i="21"/>
  <c r="U63" i="21" s="1"/>
  <c r="AN67" i="17" s="1"/>
  <c r="L46" i="20"/>
  <c r="Q42" i="20"/>
  <c r="L35" i="20"/>
  <c r="X35" i="20" s="1"/>
  <c r="W20" i="17" s="1"/>
  <c r="L55" i="20"/>
  <c r="Q65" i="20"/>
  <c r="L42" i="18"/>
  <c r="S42" i="18" s="1"/>
  <c r="I25" i="17" s="1"/>
  <c r="L41" i="18"/>
  <c r="S41" i="18" s="1"/>
  <c r="I23" i="17" s="1"/>
  <c r="L34" i="20"/>
  <c r="L47" i="20"/>
  <c r="L40" i="18"/>
  <c r="S40" i="18" s="1"/>
  <c r="I22" i="17" s="1"/>
  <c r="L62" i="20"/>
  <c r="L24" i="20"/>
  <c r="L21" i="20"/>
  <c r="L23" i="18"/>
  <c r="S23" i="18" s="1"/>
  <c r="I52" i="17" s="1"/>
  <c r="L14" i="20"/>
  <c r="N34" i="21"/>
  <c r="U34" i="21" s="1"/>
  <c r="AN12" i="17" s="1"/>
  <c r="N57" i="21"/>
  <c r="U57" i="21" s="1"/>
  <c r="AN47" i="17" s="1"/>
  <c r="N25" i="21"/>
  <c r="U25" i="21" s="1"/>
  <c r="AN56" i="17" s="1"/>
  <c r="L66" i="18"/>
  <c r="S66" i="18" s="1"/>
  <c r="I68" i="17" s="1"/>
  <c r="Q61" i="20"/>
  <c r="Q54" i="20"/>
  <c r="L68" i="18"/>
  <c r="S68" i="18" s="1"/>
  <c r="I70" i="17" s="1"/>
  <c r="L60" i="18"/>
  <c r="S60" i="18" s="1"/>
  <c r="I51" i="17" s="1"/>
  <c r="L51" i="20"/>
  <c r="L66" i="20"/>
  <c r="Q56" i="20"/>
  <c r="N20" i="21"/>
  <c r="U20" i="21" s="1"/>
  <c r="AN50" i="17" s="1"/>
  <c r="Q49" i="20"/>
  <c r="Q29" i="20"/>
  <c r="X29" i="20" s="1"/>
  <c r="W66" i="17" s="1"/>
  <c r="Q21" i="20"/>
  <c r="L45" i="18"/>
  <c r="S45" i="18" s="1"/>
  <c r="I29" i="17" s="1"/>
  <c r="N36" i="21"/>
  <c r="U36" i="21" s="1"/>
  <c r="AN17" i="17" s="1"/>
  <c r="L50" i="18"/>
  <c r="S50" i="18" s="1"/>
  <c r="I59" i="17" s="1"/>
  <c r="L64" i="18"/>
  <c r="S64" i="18" s="1"/>
  <c r="I65" i="17" s="1"/>
  <c r="L28" i="18"/>
  <c r="S28" i="18" s="1"/>
  <c r="I57" i="17" s="1"/>
  <c r="N52" i="21"/>
  <c r="U52" i="21" s="1"/>
  <c r="AN43" i="17" s="1"/>
  <c r="N33" i="21"/>
  <c r="U33" i="21" s="1"/>
  <c r="AN10" i="17" s="1"/>
  <c r="N13" i="21"/>
  <c r="U13" i="21" s="1"/>
  <c r="AN32" i="17" s="1"/>
  <c r="N23" i="21"/>
  <c r="U23" i="21" s="1"/>
  <c r="AN54" i="17" s="1"/>
  <c r="Q31" i="20"/>
  <c r="X31" i="20" s="1"/>
  <c r="W11" i="17" s="1"/>
  <c r="Q15" i="20"/>
  <c r="L47" i="18"/>
  <c r="S47" i="18" s="1"/>
  <c r="I33" i="17" s="1"/>
  <c r="N14" i="21"/>
  <c r="U14" i="21" s="1"/>
  <c r="AN35" i="17" s="1"/>
  <c r="N47" i="21"/>
  <c r="U47" i="21" s="1"/>
  <c r="AN36" i="17" s="1"/>
  <c r="N28" i="21"/>
  <c r="U28" i="21" s="1"/>
  <c r="AN64" i="17" s="1"/>
  <c r="N66" i="21"/>
  <c r="U66" i="21" s="1"/>
  <c r="AN70" i="17" s="1"/>
  <c r="N64" i="21"/>
  <c r="U64" i="21" s="1"/>
  <c r="AN68" i="17" s="1"/>
  <c r="N55" i="21"/>
  <c r="U55" i="21" s="1"/>
  <c r="AN48" i="17" s="1"/>
  <c r="N53" i="21"/>
  <c r="U53" i="21" s="1"/>
  <c r="AN38" i="17" s="1"/>
  <c r="N26" i="21"/>
  <c r="U26" i="21" s="1"/>
  <c r="AN57" i="17" s="1"/>
  <c r="L65" i="18"/>
  <c r="S65" i="18" s="1"/>
  <c r="I67" i="17" s="1"/>
  <c r="N40" i="21"/>
  <c r="U40" i="21" s="1"/>
  <c r="AN25" i="17" s="1"/>
  <c r="N37" i="21"/>
  <c r="U37" i="21" s="1"/>
  <c r="AN19" i="17" s="1"/>
  <c r="N38" i="21"/>
  <c r="U38" i="21" s="1"/>
  <c r="AN22" i="17" s="1"/>
  <c r="N62" i="21"/>
  <c r="U62" i="21" s="1"/>
  <c r="AN65" i="17" s="1"/>
  <c r="N12" i="21"/>
  <c r="U12" i="21" s="1"/>
  <c r="AN30" i="17" s="1"/>
  <c r="N30" i="21"/>
  <c r="U30" i="21" s="1"/>
  <c r="AN15" i="17" s="1"/>
  <c r="N19" i="21"/>
  <c r="U19" i="21" s="1"/>
  <c r="AN45" i="17" s="1"/>
  <c r="N41" i="21"/>
  <c r="U41" i="21" s="1"/>
  <c r="AN27" i="17" s="1"/>
  <c r="N6" i="21"/>
  <c r="U6" i="21" s="1"/>
  <c r="AN13" i="17" s="1"/>
  <c r="N60" i="21"/>
  <c r="U60" i="21" s="1"/>
  <c r="AN63" i="17" s="1"/>
  <c r="L55" i="18"/>
  <c r="S55" i="18" s="1"/>
  <c r="I38" i="17" s="1"/>
  <c r="N27" i="21"/>
  <c r="U27" i="21" s="1"/>
  <c r="AN61" i="17" s="1"/>
  <c r="N42" i="21"/>
  <c r="U42" i="21" s="1"/>
  <c r="AN28" i="17" s="1"/>
  <c r="N35" i="21"/>
  <c r="U35" i="21" s="1"/>
  <c r="AN20" i="17" s="1"/>
  <c r="L67" i="18"/>
  <c r="S67" i="18" s="1"/>
  <c r="I69" i="17" s="1"/>
  <c r="L59" i="18"/>
  <c r="S59" i="18" s="1"/>
  <c r="I47" i="17" s="1"/>
  <c r="N9" i="21"/>
  <c r="U9" i="21" s="1"/>
  <c r="AN58" i="17" s="1"/>
  <c r="N45" i="21"/>
  <c r="U45" i="21" s="1"/>
  <c r="AN33" i="17" s="1"/>
  <c r="N59" i="21"/>
  <c r="U59" i="21" s="1"/>
  <c r="AN60" i="17" s="1"/>
  <c r="N44" i="21"/>
  <c r="U44" i="21" s="1"/>
  <c r="AN31" i="17" s="1"/>
  <c r="N39" i="21"/>
  <c r="U39" i="21" s="1"/>
  <c r="AN23" i="17" s="1"/>
  <c r="L46" i="18"/>
  <c r="S46" i="18" s="1"/>
  <c r="I31" i="17" s="1"/>
  <c r="N51" i="21"/>
  <c r="U51" i="21" s="1"/>
  <c r="AN44" i="17" s="1"/>
  <c r="N54" i="21"/>
  <c r="U54" i="21" s="1"/>
  <c r="AN39" i="17" s="1"/>
  <c r="L56" i="18"/>
  <c r="S56" i="18" s="1"/>
  <c r="I39" i="17" s="1"/>
  <c r="N65" i="21"/>
  <c r="U65" i="21" s="1"/>
  <c r="AN69" i="17" s="1"/>
  <c r="L53" i="18"/>
  <c r="S53" i="18" s="1"/>
  <c r="I44" i="17" s="1"/>
  <c r="L62" i="18"/>
  <c r="S62" i="18" s="1"/>
  <c r="I63" i="17" s="1"/>
  <c r="L48" i="18"/>
  <c r="S48" i="18" s="1"/>
  <c r="I16" i="17" s="1"/>
  <c r="N22" i="21"/>
  <c r="U22" i="21" s="1"/>
  <c r="AN53" i="17" s="1"/>
  <c r="L51" i="18"/>
  <c r="S51" i="18" s="1"/>
  <c r="I42" i="17" s="1"/>
  <c r="N46" i="21"/>
  <c r="U46" i="21" s="1"/>
  <c r="AN16" i="17" s="1"/>
  <c r="N5" i="21"/>
  <c r="U5" i="21" s="1"/>
  <c r="AN9" i="17" s="1"/>
  <c r="AN4" i="17" s="1"/>
  <c r="N15" i="21"/>
  <c r="U15" i="21" s="1"/>
  <c r="AN34" i="17" s="1"/>
  <c r="N24" i="21"/>
  <c r="U24" i="21" s="1"/>
  <c r="AN55" i="17" s="1"/>
  <c r="L61" i="18"/>
  <c r="S61" i="18" s="1"/>
  <c r="I60" i="17" s="1"/>
  <c r="L39" i="18"/>
  <c r="S39" i="18" s="1"/>
  <c r="I19" i="17" s="1"/>
  <c r="N11" i="21"/>
  <c r="U11" i="21" s="1"/>
  <c r="AN26" i="17" s="1"/>
  <c r="N8" i="21"/>
  <c r="U8" i="21" s="1"/>
  <c r="AN21" i="17" s="1"/>
  <c r="N61" i="21"/>
  <c r="U61" i="21" s="1"/>
  <c r="AN62" i="17" s="1"/>
  <c r="N58" i="21"/>
  <c r="U58" i="21" s="1"/>
  <c r="AN51" i="17" s="1"/>
  <c r="N49" i="21"/>
  <c r="U49" i="21" s="1"/>
  <c r="AN42" i="17" s="1"/>
  <c r="N10" i="21"/>
  <c r="U10" i="21" s="1"/>
  <c r="AN24" i="17" s="1"/>
  <c r="N18" i="21"/>
  <c r="U18" i="21" s="1"/>
  <c r="AN46" i="17" s="1"/>
  <c r="N56" i="21"/>
  <c r="U56" i="21" s="1"/>
  <c r="AN49" i="17" s="1"/>
  <c r="N17" i="21"/>
  <c r="U17" i="21" s="1"/>
  <c r="AN40" i="17" s="1"/>
  <c r="N31" i="21"/>
  <c r="U31" i="21" s="1"/>
  <c r="AN11" i="17" s="1"/>
  <c r="N21" i="21"/>
  <c r="U21" i="21" s="1"/>
  <c r="AN52" i="17" s="1"/>
  <c r="N48" i="21"/>
  <c r="U48" i="21" s="1"/>
  <c r="AN59" i="17" s="1"/>
  <c r="N43" i="21"/>
  <c r="U43" i="21" s="1"/>
  <c r="AN29" i="17" s="1"/>
  <c r="N32" i="21"/>
  <c r="U32" i="21" s="1"/>
  <c r="AN14" i="17" s="1"/>
  <c r="N50" i="21"/>
  <c r="U50" i="21" s="1"/>
  <c r="AN41" i="17" s="1"/>
  <c r="N29" i="21"/>
  <c r="U29" i="21" s="1"/>
  <c r="AN66" i="17" s="1"/>
  <c r="X33" i="15"/>
  <c r="W10" i="9" s="1"/>
  <c r="X46" i="15"/>
  <c r="W16" i="9" s="1"/>
  <c r="X7" i="15"/>
  <c r="W18" i="9" s="1"/>
  <c r="X32" i="15"/>
  <c r="W14" i="9" s="1"/>
  <c r="X23" i="15"/>
  <c r="W54" i="9" s="1"/>
  <c r="X48" i="15"/>
  <c r="W59" i="9" s="1"/>
  <c r="X11" i="15"/>
  <c r="W26" i="9" s="1"/>
  <c r="X37" i="15"/>
  <c r="W19" i="9" s="1"/>
  <c r="X60" i="15"/>
  <c r="W63" i="9" s="1"/>
  <c r="X21" i="15"/>
  <c r="W52" i="9" s="1"/>
  <c r="X9" i="15"/>
  <c r="W58" i="9" s="1"/>
  <c r="X36" i="15"/>
  <c r="W17" i="9" s="1"/>
  <c r="X43" i="15"/>
  <c r="W29" i="9" s="1"/>
  <c r="X65" i="15"/>
  <c r="W69" i="9" s="1"/>
  <c r="X25" i="15"/>
  <c r="W56" i="9" s="1"/>
  <c r="X34" i="15"/>
  <c r="W12" i="9" s="1"/>
  <c r="X64" i="15"/>
  <c r="W68" i="9" s="1"/>
  <c r="X59" i="15"/>
  <c r="W60" i="9" s="1"/>
  <c r="X28" i="15"/>
  <c r="W64" i="9" s="1"/>
  <c r="X38" i="15"/>
  <c r="W22" i="9" s="1"/>
  <c r="X15" i="15"/>
  <c r="W34" i="9" s="1"/>
  <c r="X5" i="15"/>
  <c r="W9" i="9" s="1"/>
  <c r="X35" i="15"/>
  <c r="W20" i="9" s="1"/>
  <c r="X31" i="15"/>
  <c r="W11" i="9" s="1"/>
  <c r="X58" i="15"/>
  <c r="W51" i="9" s="1"/>
  <c r="X14" i="15"/>
  <c r="W35" i="9" s="1"/>
  <c r="X6" i="15"/>
  <c r="W13" i="9" s="1"/>
  <c r="X22" i="15"/>
  <c r="W53" i="9" s="1"/>
  <c r="X66" i="15"/>
  <c r="W70" i="9" s="1"/>
  <c r="X26" i="15"/>
  <c r="W57" i="9" s="1"/>
  <c r="X45" i="15"/>
  <c r="W33" i="9" s="1"/>
  <c r="X12" i="15"/>
  <c r="W30" i="9" s="1"/>
  <c r="X52" i="15"/>
  <c r="W43" i="9" s="1"/>
  <c r="X20" i="15"/>
  <c r="W50" i="9" s="1"/>
  <c r="X54" i="15"/>
  <c r="W39" i="9" s="1"/>
  <c r="X42" i="15"/>
  <c r="W28" i="9" s="1"/>
  <c r="X62" i="15"/>
  <c r="W65" i="9" s="1"/>
  <c r="X49" i="15"/>
  <c r="W42" i="9" s="1"/>
  <c r="X19" i="15"/>
  <c r="W45" i="9" s="1"/>
  <c r="X55" i="15"/>
  <c r="W48" i="9" s="1"/>
  <c r="X40" i="15"/>
  <c r="W25" i="9" s="1"/>
  <c r="X61" i="15"/>
  <c r="W62" i="9" s="1"/>
  <c r="X63" i="15"/>
  <c r="W67" i="9" s="1"/>
  <c r="X30" i="15"/>
  <c r="W15" i="9" s="1"/>
  <c r="X41" i="15"/>
  <c r="W27" i="9" s="1"/>
  <c r="X16" i="15"/>
  <c r="W37" i="9" s="1"/>
  <c r="X57" i="15"/>
  <c r="W47" i="9" s="1"/>
  <c r="X17" i="15"/>
  <c r="W40" i="9" s="1"/>
  <c r="X51" i="15"/>
  <c r="W44" i="9" s="1"/>
  <c r="X39" i="15"/>
  <c r="W23" i="9" s="1"/>
  <c r="X24" i="15"/>
  <c r="W55" i="9" s="1"/>
  <c r="X56" i="15"/>
  <c r="W49" i="9" s="1"/>
  <c r="X53" i="15"/>
  <c r="W38" i="9" s="1"/>
  <c r="X27" i="15"/>
  <c r="W61" i="9" s="1"/>
  <c r="X18" i="15"/>
  <c r="W46" i="9" s="1"/>
  <c r="X47" i="15"/>
  <c r="W36" i="9" s="1"/>
  <c r="X29" i="15"/>
  <c r="W66" i="9" s="1"/>
  <c r="X44" i="15"/>
  <c r="W31" i="9" s="1"/>
  <c r="S33" i="14"/>
  <c r="P10" i="9" s="1"/>
  <c r="S21" i="14"/>
  <c r="P52" i="9" s="1"/>
  <c r="S44" i="14"/>
  <c r="P31" i="9" s="1"/>
  <c r="S56" i="14"/>
  <c r="P49" i="9" s="1"/>
  <c r="S55" i="14"/>
  <c r="P48" i="9" s="1"/>
  <c r="S16" i="14"/>
  <c r="P37" i="9" s="1"/>
  <c r="S14" i="14"/>
  <c r="P35" i="9" s="1"/>
  <c r="S59" i="14"/>
  <c r="P60" i="9" s="1"/>
  <c r="S29" i="14"/>
  <c r="P66" i="9" s="1"/>
  <c r="S30" i="14"/>
  <c r="P15" i="9" s="1"/>
  <c r="S40" i="14"/>
  <c r="P25" i="9" s="1"/>
  <c r="S7" i="14"/>
  <c r="P18" i="9" s="1"/>
  <c r="S19" i="14"/>
  <c r="P45" i="9" s="1"/>
  <c r="S13" i="14"/>
  <c r="P32" i="9" s="1"/>
  <c r="S57" i="14"/>
  <c r="P47" i="9" s="1"/>
  <c r="S37" i="14"/>
  <c r="P19" i="9" s="1"/>
  <c r="S36" i="14"/>
  <c r="P17" i="9" s="1"/>
  <c r="S20" i="14"/>
  <c r="P50" i="9" s="1"/>
  <c r="S46" i="14"/>
  <c r="P16" i="9" s="1"/>
  <c r="S62" i="14"/>
  <c r="P65" i="9" s="1"/>
  <c r="S26" i="14"/>
  <c r="P57" i="9" s="1"/>
  <c r="S8" i="14"/>
  <c r="P21" i="9" s="1"/>
  <c r="S18" i="14"/>
  <c r="P46" i="9" s="1"/>
  <c r="S6" i="14"/>
  <c r="P13" i="9" s="1"/>
  <c r="S42" i="14"/>
  <c r="P28" i="9" s="1"/>
  <c r="S32" i="14"/>
  <c r="P14" i="9" s="1"/>
  <c r="S9" i="14"/>
  <c r="P58" i="9" s="1"/>
  <c r="S23" i="14"/>
  <c r="P54" i="9" s="1"/>
  <c r="S53" i="14"/>
  <c r="P38" i="9" s="1"/>
  <c r="S11" i="14"/>
  <c r="P26" i="9" s="1"/>
  <c r="S10" i="14"/>
  <c r="P24" i="9" s="1"/>
  <c r="S41" i="14"/>
  <c r="P27" i="9" s="1"/>
  <c r="S28" i="14"/>
  <c r="P64" i="9" s="1"/>
  <c r="S66" i="14"/>
  <c r="P70" i="9" s="1"/>
  <c r="S49" i="14"/>
  <c r="P42" i="9" s="1"/>
  <c r="S58" i="14"/>
  <c r="P51" i="9" s="1"/>
  <c r="S39" i="14"/>
  <c r="P23" i="9" s="1"/>
  <c r="S31" i="14"/>
  <c r="P11" i="9" s="1"/>
  <c r="S51" i="14"/>
  <c r="P44" i="9" s="1"/>
  <c r="S24" i="14"/>
  <c r="P55" i="9" s="1"/>
  <c r="S64" i="14"/>
  <c r="P68" i="9" s="1"/>
  <c r="S25" i="14"/>
  <c r="P56" i="9" s="1"/>
  <c r="S17" i="14"/>
  <c r="P40" i="9" s="1"/>
  <c r="S22" i="14"/>
  <c r="P53" i="9" s="1"/>
  <c r="S63" i="14"/>
  <c r="P67" i="9" s="1"/>
  <c r="S47" i="14"/>
  <c r="P36" i="9" s="1"/>
  <c r="S34" i="14"/>
  <c r="P12" i="9" s="1"/>
  <c r="S52" i="14"/>
  <c r="P43" i="9" s="1"/>
  <c r="S48" i="14"/>
  <c r="P59" i="9" s="1"/>
  <c r="S27" i="14"/>
  <c r="P61" i="9" s="1"/>
  <c r="S60" i="14"/>
  <c r="P63" i="9" s="1"/>
  <c r="S65" i="14"/>
  <c r="P69" i="9" s="1"/>
  <c r="S45" i="14"/>
  <c r="P33" i="9" s="1"/>
  <c r="S35" i="14"/>
  <c r="P20" i="9" s="1"/>
  <c r="S38" i="14"/>
  <c r="P22" i="9" s="1"/>
  <c r="S15" i="14"/>
  <c r="P34" i="9" s="1"/>
  <c r="S61" i="14"/>
  <c r="P62" i="9" s="1"/>
  <c r="S5" i="14"/>
  <c r="S54" i="14"/>
  <c r="P39" i="9" s="1"/>
  <c r="S12" i="14"/>
  <c r="P30" i="9" s="1"/>
  <c r="S50" i="14"/>
  <c r="P41" i="9" s="1"/>
  <c r="S43" i="14"/>
  <c r="P29" i="9" s="1"/>
  <c r="I4" i="17" l="1"/>
  <c r="X58" i="20"/>
  <c r="W51" i="17" s="1"/>
  <c r="X17" i="20"/>
  <c r="W40" i="17" s="1"/>
  <c r="X66" i="20"/>
  <c r="W70" i="17" s="1"/>
  <c r="L23" i="19"/>
  <c r="S23" i="19" s="1"/>
  <c r="P54" i="17" s="1"/>
  <c r="X30" i="20"/>
  <c r="W15" i="17" s="1"/>
  <c r="L46" i="19"/>
  <c r="S46" i="19" s="1"/>
  <c r="P16" i="17" s="1"/>
  <c r="L66" i="19"/>
  <c r="S66" i="19" s="1"/>
  <c r="P70" i="17" s="1"/>
  <c r="X45" i="20"/>
  <c r="W33" i="17" s="1"/>
  <c r="X53" i="20"/>
  <c r="W38" i="17" s="1"/>
  <c r="L51" i="19"/>
  <c r="S51" i="19" s="1"/>
  <c r="P44" i="17" s="1"/>
  <c r="L15" i="19"/>
  <c r="S15" i="19" s="1"/>
  <c r="P34" i="17" s="1"/>
  <c r="L13" i="19"/>
  <c r="S13" i="19" s="1"/>
  <c r="P32" i="17" s="1"/>
  <c r="L26" i="19"/>
  <c r="S26" i="19" s="1"/>
  <c r="P57" i="17" s="1"/>
  <c r="X5" i="20"/>
  <c r="W9" i="17" s="1"/>
  <c r="L37" i="19"/>
  <c r="S37" i="19" s="1"/>
  <c r="P19" i="17" s="1"/>
  <c r="L57" i="19"/>
  <c r="S57" i="19" s="1"/>
  <c r="P47" i="17" s="1"/>
  <c r="L48" i="19"/>
  <c r="S48" i="19" s="1"/>
  <c r="P59" i="17" s="1"/>
  <c r="L24" i="19"/>
  <c r="S24" i="19" s="1"/>
  <c r="P55" i="17" s="1"/>
  <c r="L65" i="19"/>
  <c r="S65" i="19" s="1"/>
  <c r="P69" i="17" s="1"/>
  <c r="L58" i="19"/>
  <c r="S58" i="19" s="1"/>
  <c r="P51" i="17" s="1"/>
  <c r="L63" i="19"/>
  <c r="S63" i="19" s="1"/>
  <c r="P67" i="17" s="1"/>
  <c r="L28" i="19"/>
  <c r="S28" i="19" s="1"/>
  <c r="P64" i="17" s="1"/>
  <c r="X22" i="20"/>
  <c r="W53" i="17" s="1"/>
  <c r="L33" i="19"/>
  <c r="S33" i="19" s="1"/>
  <c r="P10" i="17" s="1"/>
  <c r="L12" i="19"/>
  <c r="S12" i="19" s="1"/>
  <c r="P30" i="17" s="1"/>
  <c r="L17" i="19"/>
  <c r="S17" i="19" s="1"/>
  <c r="P40" i="17" s="1"/>
  <c r="X28" i="20"/>
  <c r="W64" i="17" s="1"/>
  <c r="X64" i="20"/>
  <c r="W68" i="17" s="1"/>
  <c r="L50" i="19"/>
  <c r="S50" i="19" s="1"/>
  <c r="P41" i="17" s="1"/>
  <c r="X6" i="20"/>
  <c r="W13" i="17" s="1"/>
  <c r="X36" i="20"/>
  <c r="W17" i="17" s="1"/>
  <c r="L29" i="19"/>
  <c r="S29" i="19" s="1"/>
  <c r="P66" i="17" s="1"/>
  <c r="X37" i="20"/>
  <c r="W19" i="17" s="1"/>
  <c r="L44" i="19"/>
  <c r="S44" i="19" s="1"/>
  <c r="P31" i="17" s="1"/>
  <c r="L64" i="19"/>
  <c r="S64" i="19" s="1"/>
  <c r="P68" i="17" s="1"/>
  <c r="X32" i="20"/>
  <c r="W14" i="17" s="1"/>
  <c r="L53" i="19"/>
  <c r="S53" i="19" s="1"/>
  <c r="P38" i="17" s="1"/>
  <c r="L6" i="19"/>
  <c r="S6" i="19" s="1"/>
  <c r="P13" i="17" s="1"/>
  <c r="X63" i="20"/>
  <c r="W67" i="17" s="1"/>
  <c r="L8" i="19"/>
  <c r="S8" i="19" s="1"/>
  <c r="P21" i="17" s="1"/>
  <c r="L40" i="19"/>
  <c r="S40" i="19" s="1"/>
  <c r="P25" i="17" s="1"/>
  <c r="L43" i="19"/>
  <c r="S43" i="19" s="1"/>
  <c r="P29" i="17" s="1"/>
  <c r="X52" i="20"/>
  <c r="W43" i="17" s="1"/>
  <c r="X44" i="20"/>
  <c r="W31" i="17" s="1"/>
  <c r="L61" i="19"/>
  <c r="S61" i="19" s="1"/>
  <c r="P62" i="17" s="1"/>
  <c r="L38" i="19"/>
  <c r="S38" i="19" s="1"/>
  <c r="P22" i="17" s="1"/>
  <c r="L21" i="19"/>
  <c r="S21" i="19" s="1"/>
  <c r="P52" i="17" s="1"/>
  <c r="X10" i="20"/>
  <c r="W24" i="17" s="1"/>
  <c r="X9" i="20"/>
  <c r="W58" i="17" s="1"/>
  <c r="L60" i="19"/>
  <c r="S60" i="19" s="1"/>
  <c r="P63" i="17" s="1"/>
  <c r="L9" i="19"/>
  <c r="S9" i="19" s="1"/>
  <c r="P58" i="17" s="1"/>
  <c r="X27" i="20"/>
  <c r="W61" i="17" s="1"/>
  <c r="X43" i="20"/>
  <c r="W29" i="17" s="1"/>
  <c r="X33" i="20"/>
  <c r="W10" i="17" s="1"/>
  <c r="X13" i="20"/>
  <c r="W32" i="17" s="1"/>
  <c r="L10" i="19"/>
  <c r="S10" i="19" s="1"/>
  <c r="P24" i="17" s="1"/>
  <c r="L11" i="19"/>
  <c r="S11" i="19" s="1"/>
  <c r="P26" i="17" s="1"/>
  <c r="L14" i="19"/>
  <c r="S14" i="19" s="1"/>
  <c r="P35" i="17" s="1"/>
  <c r="X25" i="20"/>
  <c r="W56" i="17" s="1"/>
  <c r="X39" i="20"/>
  <c r="W23" i="17" s="1"/>
  <c r="X23" i="20"/>
  <c r="W54" i="17" s="1"/>
  <c r="X65" i="20"/>
  <c r="W69" i="17" s="1"/>
  <c r="X34" i="20"/>
  <c r="W12" i="17" s="1"/>
  <c r="X60" i="20"/>
  <c r="W63" i="17" s="1"/>
  <c r="X11" i="20"/>
  <c r="W26" i="17" s="1"/>
  <c r="X48" i="20"/>
  <c r="W59" i="17" s="1"/>
  <c r="X62" i="20"/>
  <c r="W65" i="17" s="1"/>
  <c r="X47" i="20"/>
  <c r="W36" i="17" s="1"/>
  <c r="X54" i="20"/>
  <c r="W39" i="17" s="1"/>
  <c r="X49" i="20"/>
  <c r="W42" i="17" s="1"/>
  <c r="X41" i="20"/>
  <c r="W27" i="17" s="1"/>
  <c r="X57" i="20"/>
  <c r="W47" i="17" s="1"/>
  <c r="X20" i="20"/>
  <c r="W50" i="17" s="1"/>
  <c r="X16" i="20"/>
  <c r="W37" i="17" s="1"/>
  <c r="X46" i="20"/>
  <c r="W16" i="17" s="1"/>
  <c r="X59" i="20"/>
  <c r="W60" i="17" s="1"/>
  <c r="X14" i="20"/>
  <c r="W35" i="17" s="1"/>
  <c r="X38" i="20"/>
  <c r="W22" i="17" s="1"/>
  <c r="X61" i="20"/>
  <c r="W62" i="17" s="1"/>
  <c r="X7" i="20"/>
  <c r="W18" i="17" s="1"/>
  <c r="X55" i="20"/>
  <c r="W48" i="17" s="1"/>
  <c r="X24" i="20"/>
  <c r="W55" i="17" s="1"/>
  <c r="X19" i="20"/>
  <c r="W45" i="17" s="1"/>
  <c r="X26" i="20"/>
  <c r="W57" i="17" s="1"/>
  <c r="X51" i="20"/>
  <c r="W44" i="17" s="1"/>
  <c r="X15" i="20"/>
  <c r="W34" i="17" s="1"/>
  <c r="X42" i="20"/>
  <c r="W28" i="17" s="1"/>
  <c r="X21" i="20"/>
  <c r="W52" i="17" s="1"/>
  <c r="X56" i="20"/>
  <c r="W49" i="17" s="1"/>
  <c r="H36" i="17"/>
  <c r="H46" i="17"/>
  <c r="H59" i="17"/>
  <c r="H68" i="17"/>
  <c r="H38" i="17"/>
  <c r="H39" i="17"/>
  <c r="H66" i="17"/>
  <c r="H31" i="17"/>
  <c r="H10" i="17"/>
  <c r="H45" i="17"/>
  <c r="H26" i="17"/>
  <c r="H18" i="17"/>
  <c r="H44" i="17"/>
  <c r="H63" i="17"/>
  <c r="AM39" i="17"/>
  <c r="H69" i="17"/>
  <c r="H21" i="17"/>
  <c r="H23" i="17"/>
  <c r="H53" i="17"/>
  <c r="H20" i="17"/>
  <c r="H33" i="17"/>
  <c r="H28" i="17"/>
  <c r="H35" i="17"/>
  <c r="H47" i="17"/>
  <c r="H41" i="17"/>
  <c r="H55" i="17"/>
  <c r="H65" i="17"/>
  <c r="H12" i="17"/>
  <c r="H14" i="17"/>
  <c r="H24" i="17"/>
  <c r="H60" i="17"/>
  <c r="H64" i="17"/>
  <c r="H37" i="17"/>
  <c r="H32" i="17"/>
  <c r="H42" i="17"/>
  <c r="H51" i="17"/>
  <c r="H11" i="17"/>
  <c r="H19" i="17"/>
  <c r="H13" i="17"/>
  <c r="H9" i="17"/>
  <c r="H50" i="17"/>
  <c r="H22" i="17"/>
  <c r="H62" i="17"/>
  <c r="H49" i="17"/>
  <c r="H61" i="17"/>
  <c r="H54" i="17"/>
  <c r="H40" i="17"/>
  <c r="H29" i="17"/>
  <c r="H58" i="17"/>
  <c r="H56" i="17"/>
  <c r="H52" i="17"/>
  <c r="H70" i="17"/>
  <c r="H43" i="17"/>
  <c r="H48" i="17"/>
  <c r="H17" i="17"/>
  <c r="H27" i="17"/>
  <c r="H67" i="17"/>
  <c r="H57" i="17"/>
  <c r="H25" i="17"/>
  <c r="H15" i="17"/>
  <c r="H16" i="17"/>
  <c r="H34" i="17"/>
  <c r="H30" i="17"/>
  <c r="AM51" i="17"/>
  <c r="AM44" i="17"/>
  <c r="AM68" i="17"/>
  <c r="AM63" i="17"/>
  <c r="AM52" i="17"/>
  <c r="AM46" i="17"/>
  <c r="AM35" i="17"/>
  <c r="AM30" i="17"/>
  <c r="AM29" i="17"/>
  <c r="AM24" i="17"/>
  <c r="AM19" i="17"/>
  <c r="AM14" i="17"/>
  <c r="AM13" i="17"/>
  <c r="AM57" i="17"/>
  <c r="AM58" i="17"/>
  <c r="AM50" i="17"/>
  <c r="AM31" i="17"/>
  <c r="AM15" i="17"/>
  <c r="AM56" i="17"/>
  <c r="AM42" i="17"/>
  <c r="AM26" i="17"/>
  <c r="AM10" i="17"/>
  <c r="AM61" i="17"/>
  <c r="AM40" i="17"/>
  <c r="AM25" i="17"/>
  <c r="AM45" i="17"/>
  <c r="AM62" i="17"/>
  <c r="AM36" i="17"/>
  <c r="AM20" i="17"/>
  <c r="AM9" i="17"/>
  <c r="AM67" i="17"/>
  <c r="AM41" i="17"/>
  <c r="AM27" i="17"/>
  <c r="AM11" i="17"/>
  <c r="AM60" i="17"/>
  <c r="AM38" i="17"/>
  <c r="AM22" i="17"/>
  <c r="AM48" i="17"/>
  <c r="AM65" i="17"/>
  <c r="AM37" i="17"/>
  <c r="AM21" i="17"/>
  <c r="AM49" i="17"/>
  <c r="AM66" i="17"/>
  <c r="AM32" i="17"/>
  <c r="AM16" i="17"/>
  <c r="AM55" i="17"/>
  <c r="AM43" i="17"/>
  <c r="AM23" i="17"/>
  <c r="AM47" i="17"/>
  <c r="AM64" i="17"/>
  <c r="AM34" i="17"/>
  <c r="AM18" i="17"/>
  <c r="AM53" i="17"/>
  <c r="AM69" i="17"/>
  <c r="AM33" i="17"/>
  <c r="AM17" i="17"/>
  <c r="AM54" i="17"/>
  <c r="AM70" i="17"/>
  <c r="AM28" i="17"/>
  <c r="AM12" i="17"/>
  <c r="AM59" i="17"/>
  <c r="P9" i="9"/>
  <c r="P4" i="17" l="1"/>
  <c r="AM4" i="17"/>
  <c r="W4" i="17"/>
  <c r="H4" i="17"/>
  <c r="O29" i="17"/>
  <c r="O43" i="17"/>
  <c r="O28" i="17"/>
  <c r="O50" i="17"/>
  <c r="O24" i="17"/>
  <c r="O46" i="17"/>
  <c r="O36" i="17"/>
  <c r="O19" i="17"/>
  <c r="O41" i="17"/>
  <c r="O54" i="17"/>
  <c r="O70" i="17"/>
  <c r="O58" i="17"/>
  <c r="O47" i="17"/>
  <c r="O40" i="17"/>
  <c r="O62" i="17"/>
  <c r="O45" i="17"/>
  <c r="O38" i="17"/>
  <c r="O49" i="17"/>
  <c r="O57" i="17"/>
  <c r="O59" i="17"/>
  <c r="O55" i="17"/>
  <c r="O69" i="17"/>
  <c r="O61" i="17"/>
  <c r="O37" i="17"/>
  <c r="O44" i="17"/>
  <c r="O18" i="17"/>
  <c r="O15" i="17"/>
  <c r="O11" i="17"/>
  <c r="O39" i="17"/>
  <c r="O32" i="17"/>
  <c r="O14" i="17"/>
  <c r="O10" i="17"/>
  <c r="O35" i="17"/>
  <c r="O31" i="17"/>
  <c r="O30" i="17"/>
  <c r="O9" i="17"/>
  <c r="O21" i="17"/>
  <c r="O68" i="17"/>
  <c r="O27" i="17"/>
  <c r="O66" i="17"/>
  <c r="O67" i="17"/>
  <c r="O56" i="17"/>
  <c r="O48" i="17"/>
  <c r="O63" i="17"/>
  <c r="O65" i="17"/>
  <c r="O51" i="17"/>
  <c r="O52" i="17"/>
  <c r="O42" i="17"/>
  <c r="O33" i="17"/>
  <c r="O26" i="17"/>
  <c r="O22" i="17"/>
  <c r="O34" i="17"/>
  <c r="O17" i="17"/>
  <c r="O13" i="17"/>
  <c r="O60" i="17"/>
  <c r="O20" i="17"/>
  <c r="O16" i="17"/>
  <c r="O12" i="17"/>
  <c r="O25" i="17"/>
  <c r="O64" i="17"/>
  <c r="O23" i="17"/>
  <c r="O53" i="17"/>
  <c r="V23" i="17"/>
  <c r="V10" i="17"/>
  <c r="V53" i="17"/>
  <c r="V28" i="17"/>
  <c r="V66" i="17"/>
  <c r="V39" i="17"/>
  <c r="V17" i="17"/>
  <c r="V51" i="17"/>
  <c r="V18" i="17"/>
  <c r="V45" i="17"/>
  <c r="V13" i="17"/>
  <c r="V52" i="17"/>
  <c r="V57" i="17"/>
  <c r="V20" i="17"/>
  <c r="V62" i="17"/>
  <c r="V9" i="17"/>
  <c r="V14" i="17"/>
  <c r="V37" i="17"/>
  <c r="V41" i="17"/>
  <c r="V36" i="17"/>
  <c r="V46" i="17"/>
  <c r="V40" i="17"/>
  <c r="V44" i="17"/>
  <c r="V56" i="17"/>
  <c r="V43" i="17"/>
  <c r="V47" i="17"/>
  <c r="V49" i="17"/>
  <c r="V15" i="17"/>
  <c r="V21" i="17"/>
  <c r="V42" i="17"/>
  <c r="V16" i="17"/>
  <c r="V34" i="17"/>
  <c r="V30" i="17"/>
  <c r="V48" i="17"/>
  <c r="V54" i="17"/>
  <c r="V25" i="17"/>
  <c r="V12" i="17"/>
  <c r="V70" i="17"/>
  <c r="V55" i="17"/>
  <c r="V69" i="17"/>
  <c r="V65" i="17"/>
  <c r="V24" i="17"/>
  <c r="V63" i="17"/>
  <c r="V64" i="17"/>
  <c r="V67" i="17"/>
  <c r="V31" i="17"/>
  <c r="V33" i="17"/>
  <c r="V68" i="17"/>
  <c r="V59" i="17"/>
  <c r="V61" i="17"/>
  <c r="V50" i="17"/>
  <c r="V22" i="17"/>
  <c r="V26" i="17"/>
  <c r="V27" i="17"/>
  <c r="V11" i="17"/>
  <c r="V35" i="17"/>
  <c r="V29" i="17"/>
  <c r="V58" i="17"/>
  <c r="V32" i="17"/>
  <c r="V19" i="17"/>
  <c r="V38" i="17"/>
  <c r="V60" i="17"/>
  <c r="O4" i="17" l="1"/>
  <c r="V4" i="17"/>
  <c r="G66" i="14"/>
  <c r="G65" i="14"/>
  <c r="G64" i="14"/>
  <c r="G63" i="14"/>
  <c r="G62" i="14"/>
  <c r="G61" i="14"/>
  <c r="G60" i="14"/>
  <c r="G59" i="14"/>
  <c r="G58" i="14"/>
  <c r="G57" i="14"/>
  <c r="G56" i="14"/>
  <c r="G55" i="14"/>
  <c r="G54" i="14"/>
  <c r="G53" i="14"/>
  <c r="G52" i="14"/>
  <c r="G51" i="14"/>
  <c r="G50" i="14"/>
  <c r="G49" i="14"/>
  <c r="G48" i="14"/>
  <c r="G47" i="14"/>
  <c r="G46" i="14"/>
  <c r="G45" i="14"/>
  <c r="G44" i="14"/>
  <c r="G43" i="14"/>
  <c r="G42" i="14"/>
  <c r="G41" i="14"/>
  <c r="G40" i="14"/>
  <c r="G39" i="14"/>
  <c r="G38" i="14"/>
  <c r="G37" i="14"/>
  <c r="G36" i="14"/>
  <c r="G35" i="14"/>
  <c r="G34" i="14"/>
  <c r="G33" i="14"/>
  <c r="G32" i="14"/>
  <c r="G31" i="14"/>
  <c r="G30" i="14"/>
  <c r="G29" i="14"/>
  <c r="G28" i="14"/>
  <c r="G27" i="14"/>
  <c r="G26" i="14"/>
  <c r="G25" i="14"/>
  <c r="G24" i="14"/>
  <c r="G23" i="14"/>
  <c r="G22" i="14"/>
  <c r="G21" i="14"/>
  <c r="G20" i="14"/>
  <c r="G19" i="14"/>
  <c r="G18" i="14"/>
  <c r="G17" i="14"/>
  <c r="G16" i="14"/>
  <c r="G15" i="14"/>
  <c r="G14" i="14"/>
  <c r="G13" i="14"/>
  <c r="G12" i="14"/>
  <c r="G11" i="14"/>
  <c r="G10" i="14"/>
  <c r="G9" i="14"/>
  <c r="G8" i="14"/>
  <c r="G7" i="14"/>
  <c r="G6" i="14"/>
  <c r="G5" i="14"/>
  <c r="AV9" i="9" l="1"/>
  <c r="AF10" i="9"/>
  <c r="AF11" i="9"/>
  <c r="AF12" i="9"/>
  <c r="AF13" i="9"/>
  <c r="AF14" i="9"/>
  <c r="AF15" i="9"/>
  <c r="AF16" i="9"/>
  <c r="AF17" i="9"/>
  <c r="AF18" i="9"/>
  <c r="AF19" i="9"/>
  <c r="AF20" i="9"/>
  <c r="AF21" i="9"/>
  <c r="AF22" i="9"/>
  <c r="AF23" i="9"/>
  <c r="AF24" i="9"/>
  <c r="AF25" i="9"/>
  <c r="AF26" i="9"/>
  <c r="AF27" i="9"/>
  <c r="AF28" i="9"/>
  <c r="AF29" i="9"/>
  <c r="AF30" i="9"/>
  <c r="AF31" i="9"/>
  <c r="AF32" i="9"/>
  <c r="AF33" i="9"/>
  <c r="AF34" i="9"/>
  <c r="AF35" i="9"/>
  <c r="AF36" i="9"/>
  <c r="AF37" i="9"/>
  <c r="AF38" i="9"/>
  <c r="AF39" i="9"/>
  <c r="AF40" i="9"/>
  <c r="AF41" i="9"/>
  <c r="AF42" i="9"/>
  <c r="AF43" i="9"/>
  <c r="AF44" i="9"/>
  <c r="AF45" i="9"/>
  <c r="AF46" i="9"/>
  <c r="AF47" i="9"/>
  <c r="AF48" i="9"/>
  <c r="AF49" i="9"/>
  <c r="AF50" i="9"/>
  <c r="AF51" i="9"/>
  <c r="AF52" i="9"/>
  <c r="AF53" i="9"/>
  <c r="AF54" i="9"/>
  <c r="AF55" i="9"/>
  <c r="AF56" i="9"/>
  <c r="AF57" i="9"/>
  <c r="AF58" i="9"/>
  <c r="AF59" i="9"/>
  <c r="AF60" i="9"/>
  <c r="AF61" i="9"/>
  <c r="AF62" i="9"/>
  <c r="AF63" i="9"/>
  <c r="AF64" i="9"/>
  <c r="AF65" i="9"/>
  <c r="AF66" i="9"/>
  <c r="AF67" i="9"/>
  <c r="AF68" i="9"/>
  <c r="AF69" i="9"/>
  <c r="AF70" i="9"/>
  <c r="AF9" i="9"/>
  <c r="AV10" i="9" l="1"/>
  <c r="AV11" i="9"/>
  <c r="AV12" i="9"/>
  <c r="AV13" i="9"/>
  <c r="AV14" i="9"/>
  <c r="AV15" i="9"/>
  <c r="AV16" i="9"/>
  <c r="AV17" i="9"/>
  <c r="AV18" i="9"/>
  <c r="AV19" i="9"/>
  <c r="AV20" i="9"/>
  <c r="AV21" i="9"/>
  <c r="AV22" i="9"/>
  <c r="AV23" i="9"/>
  <c r="AV24" i="9"/>
  <c r="AV25" i="9"/>
  <c r="AV26" i="9"/>
  <c r="AV27" i="9"/>
  <c r="AV28" i="9"/>
  <c r="AV29" i="9"/>
  <c r="AV30" i="9"/>
  <c r="AV31" i="9"/>
  <c r="AV32" i="9"/>
  <c r="AV33" i="9"/>
  <c r="AV34" i="9"/>
  <c r="AV35" i="9"/>
  <c r="AV36" i="9"/>
  <c r="AV37" i="9"/>
  <c r="AV38" i="9"/>
  <c r="AV39" i="9"/>
  <c r="AV40" i="9"/>
  <c r="AV41" i="9"/>
  <c r="AV42" i="9"/>
  <c r="AV43" i="9"/>
  <c r="AV44" i="9"/>
  <c r="AV45" i="9"/>
  <c r="AV46" i="9"/>
  <c r="AV47" i="9"/>
  <c r="AV48" i="9"/>
  <c r="AV49" i="9"/>
  <c r="AV50" i="9"/>
  <c r="AV51" i="9"/>
  <c r="AV52" i="9"/>
  <c r="AV53" i="9"/>
  <c r="AV54" i="9"/>
  <c r="AV55" i="9"/>
  <c r="AV56" i="9"/>
  <c r="AV57" i="9"/>
  <c r="AV58" i="9"/>
  <c r="AV59" i="9"/>
  <c r="AV60" i="9"/>
  <c r="AV61" i="9"/>
  <c r="AV62" i="9"/>
  <c r="AV63" i="9"/>
  <c r="AV64" i="9"/>
  <c r="AV65" i="9"/>
  <c r="AV66" i="9"/>
  <c r="AV67" i="9"/>
  <c r="AV68" i="9"/>
  <c r="AV69" i="9"/>
  <c r="AV70" i="9"/>
  <c r="BD10" i="9"/>
  <c r="BC63" i="9" s="1"/>
  <c r="BD11" i="9"/>
  <c r="BD12" i="9"/>
  <c r="BD13" i="9"/>
  <c r="BC67" i="9" s="1"/>
  <c r="BD14" i="9"/>
  <c r="BD15" i="9"/>
  <c r="BD16" i="9"/>
  <c r="BD17" i="9"/>
  <c r="BD18" i="9"/>
  <c r="BD19" i="9"/>
  <c r="BD20" i="9"/>
  <c r="BD21" i="9"/>
  <c r="BC21" i="9" s="1"/>
  <c r="BD22" i="9"/>
  <c r="BD23" i="9"/>
  <c r="BD24" i="9"/>
  <c r="BD25" i="9"/>
  <c r="BC25" i="9" s="1"/>
  <c r="BD26" i="9"/>
  <c r="BD27" i="9"/>
  <c r="BD28" i="9"/>
  <c r="BD29" i="9"/>
  <c r="BC29" i="9" s="1"/>
  <c r="BD30" i="9"/>
  <c r="BD31" i="9"/>
  <c r="BD32" i="9"/>
  <c r="BD33" i="9"/>
  <c r="BD34" i="9"/>
  <c r="BD35" i="9"/>
  <c r="BD36" i="9"/>
  <c r="BD37" i="9"/>
  <c r="BC37" i="9" s="1"/>
  <c r="BD38" i="9"/>
  <c r="BD39" i="9"/>
  <c r="BD40" i="9"/>
  <c r="BD41" i="9"/>
  <c r="BC41" i="9" s="1"/>
  <c r="BD42" i="9"/>
  <c r="BD43" i="9"/>
  <c r="BD44" i="9"/>
  <c r="BD45" i="9"/>
  <c r="BC45" i="9" s="1"/>
  <c r="BD46" i="9"/>
  <c r="BD47" i="9"/>
  <c r="BD48" i="9"/>
  <c r="BD49" i="9"/>
  <c r="BD50" i="9"/>
  <c r="BD51" i="9"/>
  <c r="BD52" i="9"/>
  <c r="BD53" i="9"/>
  <c r="BC53" i="9" s="1"/>
  <c r="BD54" i="9"/>
  <c r="BD55" i="9"/>
  <c r="BD56" i="9"/>
  <c r="BD57" i="9"/>
  <c r="BC57" i="9" s="1"/>
  <c r="BD58" i="9"/>
  <c r="BD59" i="9"/>
  <c r="BD60" i="9"/>
  <c r="BD61" i="9"/>
  <c r="BC61" i="9" s="1"/>
  <c r="BD62" i="9"/>
  <c r="BD63" i="9"/>
  <c r="BD64" i="9"/>
  <c r="BD65" i="9"/>
  <c r="BD66" i="9"/>
  <c r="BC66" i="9" s="1"/>
  <c r="BD67" i="9"/>
  <c r="BD68" i="9"/>
  <c r="BD69" i="9"/>
  <c r="BD70" i="9"/>
  <c r="BD9" i="9"/>
  <c r="BC17" i="9"/>
  <c r="BC33" i="9"/>
  <c r="BC49" i="9"/>
  <c r="BC65" i="9"/>
  <c r="BH10" i="9"/>
  <c r="BH11" i="9"/>
  <c r="BH12" i="9"/>
  <c r="BH13" i="9"/>
  <c r="BH14" i="9"/>
  <c r="BH15" i="9"/>
  <c r="BH16" i="9"/>
  <c r="BH17" i="9"/>
  <c r="BH18" i="9"/>
  <c r="BH19" i="9"/>
  <c r="BH20" i="9"/>
  <c r="BH21" i="9"/>
  <c r="BH22" i="9"/>
  <c r="BH23" i="9"/>
  <c r="BH24" i="9"/>
  <c r="BH25" i="9"/>
  <c r="BH26" i="9"/>
  <c r="BH27" i="9"/>
  <c r="BH28" i="9"/>
  <c r="BH29" i="9"/>
  <c r="BH30" i="9"/>
  <c r="BH31" i="9"/>
  <c r="BH32" i="9"/>
  <c r="BH33" i="9"/>
  <c r="BH34" i="9"/>
  <c r="BH35" i="9"/>
  <c r="BH36" i="9"/>
  <c r="BH37" i="9"/>
  <c r="BH38" i="9"/>
  <c r="BH39" i="9"/>
  <c r="BH40" i="9"/>
  <c r="BH41" i="9"/>
  <c r="BH42" i="9"/>
  <c r="BH43" i="9"/>
  <c r="BH44" i="9"/>
  <c r="BH45" i="9"/>
  <c r="BH46" i="9"/>
  <c r="BH47" i="9"/>
  <c r="BH48" i="9"/>
  <c r="BH49" i="9"/>
  <c r="BH50" i="9"/>
  <c r="BH51" i="9"/>
  <c r="BH52" i="9"/>
  <c r="BH53" i="9"/>
  <c r="BH54" i="9"/>
  <c r="BH55" i="9"/>
  <c r="BH56" i="9"/>
  <c r="BH57" i="9"/>
  <c r="BH58" i="9"/>
  <c r="BH59" i="9"/>
  <c r="BH60" i="9"/>
  <c r="BH61" i="9"/>
  <c r="BH62" i="9"/>
  <c r="BH63" i="9"/>
  <c r="BH64" i="9"/>
  <c r="BH65" i="9"/>
  <c r="BH66" i="9"/>
  <c r="BH67" i="9"/>
  <c r="BH68" i="9"/>
  <c r="BH69" i="9"/>
  <c r="BH70" i="9"/>
  <c r="BH9" i="9"/>
  <c r="BG70" i="9"/>
  <c r="BG69" i="9"/>
  <c r="BG68" i="9"/>
  <c r="BG67" i="9"/>
  <c r="BG66" i="9"/>
  <c r="BG65" i="9"/>
  <c r="BG64" i="9"/>
  <c r="BG63" i="9"/>
  <c r="BG62" i="9"/>
  <c r="BG61" i="9"/>
  <c r="BG60" i="9"/>
  <c r="BG59" i="9"/>
  <c r="BG58" i="9"/>
  <c r="BG57" i="9"/>
  <c r="BG56" i="9"/>
  <c r="BG55" i="9"/>
  <c r="BG54" i="9"/>
  <c r="BG53" i="9"/>
  <c r="BG52" i="9"/>
  <c r="BG51" i="9"/>
  <c r="BG50" i="9"/>
  <c r="BG49" i="9"/>
  <c r="BG48" i="9"/>
  <c r="BG47" i="9"/>
  <c r="BG46" i="9"/>
  <c r="BG45" i="9"/>
  <c r="BG44" i="9"/>
  <c r="BG43" i="9"/>
  <c r="BG42" i="9"/>
  <c r="BG41" i="9"/>
  <c r="BG40" i="9"/>
  <c r="BG39" i="9"/>
  <c r="BG38" i="9"/>
  <c r="BG37" i="9"/>
  <c r="BG36" i="9"/>
  <c r="BG35" i="9"/>
  <c r="BG34" i="9"/>
  <c r="BG33" i="9"/>
  <c r="BG32" i="9"/>
  <c r="BG31" i="9"/>
  <c r="BG30" i="9"/>
  <c r="BG29" i="9"/>
  <c r="BG28" i="9"/>
  <c r="BG27" i="9"/>
  <c r="BG26" i="9"/>
  <c r="BG25" i="9"/>
  <c r="BG24" i="9"/>
  <c r="BG23" i="9"/>
  <c r="BG22" i="9"/>
  <c r="BG21" i="9"/>
  <c r="BG20" i="9"/>
  <c r="BG19" i="9"/>
  <c r="BG18" i="9"/>
  <c r="BG17" i="9"/>
  <c r="BG16" i="9"/>
  <c r="BG15" i="9"/>
  <c r="BG14" i="9"/>
  <c r="BG13" i="9"/>
  <c r="BG12" i="9"/>
  <c r="BG11" i="9"/>
  <c r="BG10" i="9"/>
  <c r="BG9" i="9"/>
  <c r="BC55" i="9"/>
  <c r="BC39" i="9"/>
  <c r="BC23"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E11" i="9"/>
  <c r="AE10" i="9"/>
  <c r="AE9" i="9"/>
  <c r="V70" i="9"/>
  <c r="V69" i="9"/>
  <c r="V68" i="9"/>
  <c r="V67" i="9"/>
  <c r="V66" i="9"/>
  <c r="V65" i="9"/>
  <c r="V64" i="9"/>
  <c r="V63" i="9"/>
  <c r="V62" i="9"/>
  <c r="V61" i="9"/>
  <c r="V60" i="9"/>
  <c r="V59" i="9"/>
  <c r="V58" i="9"/>
  <c r="V57" i="9"/>
  <c r="V56" i="9"/>
  <c r="V55" i="9"/>
  <c r="V54" i="9"/>
  <c r="V53" i="9"/>
  <c r="V52" i="9"/>
  <c r="V51" i="9"/>
  <c r="V50" i="9"/>
  <c r="V49" i="9"/>
  <c r="V48" i="9"/>
  <c r="V47" i="9"/>
  <c r="V46" i="9"/>
  <c r="V45" i="9"/>
  <c r="V44" i="9"/>
  <c r="V43" i="9"/>
  <c r="V42" i="9"/>
  <c r="V41" i="9"/>
  <c r="V40" i="9"/>
  <c r="V39" i="9"/>
  <c r="V38" i="9"/>
  <c r="V37" i="9"/>
  <c r="V36" i="9"/>
  <c r="V35" i="9"/>
  <c r="V34" i="9"/>
  <c r="V33" i="9"/>
  <c r="V32" i="9"/>
  <c r="V31" i="9"/>
  <c r="V30" i="9"/>
  <c r="V29" i="9"/>
  <c r="V28" i="9"/>
  <c r="V27" i="9"/>
  <c r="V26" i="9"/>
  <c r="V25" i="9"/>
  <c r="V24" i="9"/>
  <c r="V23" i="9"/>
  <c r="V22" i="9"/>
  <c r="V21" i="9"/>
  <c r="V20" i="9"/>
  <c r="V19" i="9"/>
  <c r="V18" i="9"/>
  <c r="V17" i="9"/>
  <c r="V16" i="9"/>
  <c r="V15" i="9"/>
  <c r="V14" i="9"/>
  <c r="V13" i="9"/>
  <c r="V12" i="9"/>
  <c r="V11" i="9"/>
  <c r="V10" i="9"/>
  <c r="V9" i="9"/>
  <c r="O70" i="9"/>
  <c r="O69" i="9"/>
  <c r="O68" i="9"/>
  <c r="O67" i="9"/>
  <c r="O66" i="9"/>
  <c r="O65" i="9"/>
  <c r="O64" i="9"/>
  <c r="O63" i="9"/>
  <c r="O62" i="9"/>
  <c r="O61" i="9"/>
  <c r="O60" i="9"/>
  <c r="O59" i="9"/>
  <c r="O58" i="9"/>
  <c r="O57" i="9"/>
  <c r="O56" i="9"/>
  <c r="O55" i="9"/>
  <c r="O54" i="9"/>
  <c r="O53" i="9"/>
  <c r="O52" i="9"/>
  <c r="O51" i="9"/>
  <c r="O50" i="9"/>
  <c r="O49" i="9"/>
  <c r="O48" i="9"/>
  <c r="O47" i="9"/>
  <c r="O46" i="9"/>
  <c r="O45" i="9"/>
  <c r="O44" i="9"/>
  <c r="O43" i="9"/>
  <c r="O42" i="9"/>
  <c r="O41" i="9"/>
  <c r="O40" i="9"/>
  <c r="O39" i="9"/>
  <c r="O38" i="9"/>
  <c r="O37" i="9"/>
  <c r="O36" i="9"/>
  <c r="O35" i="9"/>
  <c r="O34" i="9"/>
  <c r="O33" i="9"/>
  <c r="O32" i="9"/>
  <c r="O31" i="9"/>
  <c r="O30" i="9"/>
  <c r="O29" i="9"/>
  <c r="O28" i="9"/>
  <c r="O27" i="9"/>
  <c r="O26" i="9"/>
  <c r="O25" i="9"/>
  <c r="O24" i="9"/>
  <c r="O23" i="9"/>
  <c r="O22" i="9"/>
  <c r="O21" i="9"/>
  <c r="O20" i="9"/>
  <c r="O19" i="9"/>
  <c r="O18" i="9"/>
  <c r="O17" i="9"/>
  <c r="O16" i="9"/>
  <c r="O15" i="9"/>
  <c r="O14" i="9"/>
  <c r="O13" i="9"/>
  <c r="O12" i="9"/>
  <c r="O11" i="9"/>
  <c r="O10" i="9"/>
  <c r="O9" i="9"/>
  <c r="J8" i="13"/>
  <c r="J9" i="13"/>
  <c r="J10" i="13"/>
  <c r="J11" i="13"/>
  <c r="J12" i="13"/>
  <c r="J13" i="13"/>
  <c r="J14" i="13"/>
  <c r="J15" i="13"/>
  <c r="J16" i="13"/>
  <c r="J17" i="13"/>
  <c r="J18" i="13"/>
  <c r="J19" i="13"/>
  <c r="J20" i="13"/>
  <c r="J21" i="13"/>
  <c r="J22" i="13"/>
  <c r="J23" i="13"/>
  <c r="J24" i="13"/>
  <c r="J25" i="13"/>
  <c r="J26" i="13"/>
  <c r="J27" i="13"/>
  <c r="J28" i="13"/>
  <c r="J29" i="13"/>
  <c r="J30" i="13"/>
  <c r="J31" i="13"/>
  <c r="J32" i="13"/>
  <c r="J33" i="13"/>
  <c r="J34" i="13"/>
  <c r="J35" i="13"/>
  <c r="J36" i="13"/>
  <c r="J37" i="13"/>
  <c r="J38" i="13"/>
  <c r="J39" i="13"/>
  <c r="J40" i="13"/>
  <c r="J41" i="13"/>
  <c r="J42" i="13"/>
  <c r="J43" i="13"/>
  <c r="J44" i="13"/>
  <c r="J45" i="13"/>
  <c r="J46" i="13"/>
  <c r="J47" i="13"/>
  <c r="J48" i="13"/>
  <c r="J49" i="13"/>
  <c r="J50" i="13"/>
  <c r="J51" i="13"/>
  <c r="J52" i="13"/>
  <c r="J53" i="13"/>
  <c r="J54" i="13"/>
  <c r="J55" i="13"/>
  <c r="J56" i="13"/>
  <c r="J57" i="13"/>
  <c r="J58" i="13"/>
  <c r="J59" i="13"/>
  <c r="J60" i="13"/>
  <c r="J61" i="13"/>
  <c r="J62" i="13"/>
  <c r="J63" i="13"/>
  <c r="J64" i="13"/>
  <c r="J65" i="13"/>
  <c r="J66" i="13"/>
  <c r="J67" i="13"/>
  <c r="J68" i="13"/>
  <c r="J7" i="13"/>
  <c r="H8" i="13"/>
  <c r="H9" i="13"/>
  <c r="H10"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7" i="13"/>
  <c r="G8" i="13"/>
  <c r="G9" i="13"/>
  <c r="G10" i="13"/>
  <c r="G11" i="13"/>
  <c r="G12" i="13"/>
  <c r="G13" i="13"/>
  <c r="G14" i="13"/>
  <c r="G15" i="13"/>
  <c r="K15" i="13" s="1"/>
  <c r="G16" i="13"/>
  <c r="G17" i="13"/>
  <c r="G18" i="13"/>
  <c r="G19" i="13"/>
  <c r="K19" i="13" s="1"/>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7" i="13"/>
  <c r="I19" i="13" l="1"/>
  <c r="L19" i="13" s="1"/>
  <c r="S19" i="13" s="1"/>
  <c r="I40" i="9" s="1"/>
  <c r="I38" i="13"/>
  <c r="I18" i="13"/>
  <c r="K44" i="13"/>
  <c r="K32" i="13"/>
  <c r="K8" i="13"/>
  <c r="I57" i="13"/>
  <c r="I49" i="13"/>
  <c r="K35" i="13"/>
  <c r="I44" i="13"/>
  <c r="I32" i="13"/>
  <c r="I8" i="13"/>
  <c r="K38" i="13"/>
  <c r="K34" i="13"/>
  <c r="K26" i="13"/>
  <c r="K18" i="13"/>
  <c r="AM69" i="9"/>
  <c r="AM10" i="9"/>
  <c r="AM39" i="9"/>
  <c r="AM42" i="9"/>
  <c r="AM23" i="9"/>
  <c r="AM55" i="9"/>
  <c r="AM26" i="9"/>
  <c r="AM58" i="9"/>
  <c r="AM15" i="9"/>
  <c r="AM31" i="9"/>
  <c r="AM47" i="9"/>
  <c r="AM63" i="9"/>
  <c r="AM18" i="9"/>
  <c r="AM34" i="9"/>
  <c r="AM50" i="9"/>
  <c r="AM66" i="9"/>
  <c r="AM11" i="9"/>
  <c r="AM19" i="9"/>
  <c r="AM27" i="9"/>
  <c r="AM35" i="9"/>
  <c r="AM43" i="9"/>
  <c r="AM51" i="9"/>
  <c r="AM59" i="9"/>
  <c r="AM67" i="9"/>
  <c r="AM14" i="9"/>
  <c r="AM22" i="9"/>
  <c r="AM30" i="9"/>
  <c r="AM38" i="9"/>
  <c r="AM46" i="9"/>
  <c r="AM54" i="9"/>
  <c r="AM62" i="9"/>
  <c r="AM70" i="9"/>
  <c r="AM12" i="9"/>
  <c r="AM16" i="9"/>
  <c r="AM20" i="9"/>
  <c r="AM24" i="9"/>
  <c r="AM28" i="9"/>
  <c r="AM32" i="9"/>
  <c r="AM36" i="9"/>
  <c r="AM40" i="9"/>
  <c r="AM44" i="9"/>
  <c r="AM48" i="9"/>
  <c r="AM52" i="9"/>
  <c r="AM56" i="9"/>
  <c r="AM60" i="9"/>
  <c r="AM64" i="9"/>
  <c r="AM68" i="9"/>
  <c r="AM9" i="9"/>
  <c r="AM13" i="9"/>
  <c r="AM17" i="9"/>
  <c r="AM21" i="9"/>
  <c r="AM25" i="9"/>
  <c r="AM29" i="9"/>
  <c r="AM33" i="9"/>
  <c r="AM37" i="9"/>
  <c r="AM41" i="9"/>
  <c r="AM45" i="9"/>
  <c r="AM49" i="9"/>
  <c r="AM53" i="9"/>
  <c r="AM57" i="9"/>
  <c r="AM61" i="9"/>
  <c r="AM65" i="9"/>
  <c r="BC43" i="9"/>
  <c r="BC11" i="9"/>
  <c r="BC27" i="9"/>
  <c r="BC59" i="9"/>
  <c r="BC15" i="9"/>
  <c r="BC31" i="9"/>
  <c r="BC47" i="9"/>
  <c r="BC19" i="9"/>
  <c r="BC35" i="9"/>
  <c r="BC51" i="9"/>
  <c r="BC12" i="9"/>
  <c r="BC16" i="9"/>
  <c r="BC20" i="9"/>
  <c r="BC24" i="9"/>
  <c r="BC28" i="9"/>
  <c r="BC32" i="9"/>
  <c r="BC36" i="9"/>
  <c r="BC40" i="9"/>
  <c r="BC44" i="9"/>
  <c r="BC48" i="9"/>
  <c r="BC52" i="9"/>
  <c r="BC56" i="9"/>
  <c r="BC60" i="9"/>
  <c r="BC64" i="9"/>
  <c r="BC68" i="9"/>
  <c r="BC9" i="9"/>
  <c r="BC13" i="9"/>
  <c r="BC70" i="9"/>
  <c r="BC10" i="9"/>
  <c r="BC14" i="9"/>
  <c r="BC18" i="9"/>
  <c r="BC22" i="9"/>
  <c r="BC26" i="9"/>
  <c r="BC30" i="9"/>
  <c r="BC34" i="9"/>
  <c r="BC38" i="9"/>
  <c r="BC42" i="9"/>
  <c r="BC46" i="9"/>
  <c r="BC50" i="9"/>
  <c r="BC54" i="9"/>
  <c r="BC58" i="9"/>
  <c r="BC62" i="9"/>
  <c r="BC69" i="9"/>
  <c r="H3" i="13"/>
  <c r="J2" i="13"/>
  <c r="K27" i="13" s="1"/>
  <c r="H5" i="13"/>
  <c r="H4" i="13"/>
  <c r="I35" i="13"/>
  <c r="I15" i="13"/>
  <c r="I33" i="13"/>
  <c r="K33" i="13"/>
  <c r="J3" i="13"/>
  <c r="H2" i="13"/>
  <c r="I26" i="13"/>
  <c r="J4" i="13"/>
  <c r="K55" i="13" s="1"/>
  <c r="J5" i="13"/>
  <c r="I29" i="13"/>
  <c r="K29" i="13"/>
  <c r="I34" i="13"/>
  <c r="K49" i="13"/>
  <c r="K57" i="13"/>
  <c r="L38" i="13" l="1"/>
  <c r="S38" i="13" s="1"/>
  <c r="I17" i="9" s="1"/>
  <c r="L8" i="13"/>
  <c r="S8" i="13" s="1"/>
  <c r="I13" i="9" s="1"/>
  <c r="L44" i="13"/>
  <c r="S44" i="13" s="1"/>
  <c r="I28" i="9" s="1"/>
  <c r="L32" i="13"/>
  <c r="S32" i="13" s="1"/>
  <c r="I15" i="9" s="1"/>
  <c r="L18" i="13"/>
  <c r="S18" i="13" s="1"/>
  <c r="I37" i="9" s="1"/>
  <c r="L57" i="13"/>
  <c r="S57" i="13" s="1"/>
  <c r="I48" i="9" s="1"/>
  <c r="L35" i="13"/>
  <c r="S35" i="13" s="1"/>
  <c r="I10" i="9" s="1"/>
  <c r="L34" i="13"/>
  <c r="S34" i="13" s="1"/>
  <c r="I14" i="9" s="1"/>
  <c r="L26" i="13"/>
  <c r="S26" i="13" s="1"/>
  <c r="I55" i="9" s="1"/>
  <c r="L33" i="13"/>
  <c r="S33" i="13" s="1"/>
  <c r="I11" i="9" s="1"/>
  <c r="L49" i="13"/>
  <c r="S49" i="13" s="1"/>
  <c r="I36" i="9" s="1"/>
  <c r="L29" i="13"/>
  <c r="S29" i="13" s="1"/>
  <c r="I61" i="9" s="1"/>
  <c r="L15" i="13"/>
  <c r="S15" i="13" s="1"/>
  <c r="I32" i="9" s="1"/>
  <c r="I13" i="13"/>
  <c r="I61" i="13"/>
  <c r="I62" i="13"/>
  <c r="I50" i="13"/>
  <c r="I43" i="13"/>
  <c r="I58" i="13"/>
  <c r="I51" i="13"/>
  <c r="I66" i="13"/>
  <c r="I47" i="13"/>
  <c r="I45" i="13"/>
  <c r="I41" i="13"/>
  <c r="I48" i="13"/>
  <c r="I54" i="13"/>
  <c r="I39" i="13"/>
  <c r="I67" i="13"/>
  <c r="I37" i="13"/>
  <c r="I42" i="13"/>
  <c r="K23" i="13"/>
  <c r="K68" i="13"/>
  <c r="I63" i="13"/>
  <c r="I60" i="13"/>
  <c r="K25" i="13"/>
  <c r="K13" i="13"/>
  <c r="I56" i="13"/>
  <c r="K52" i="13"/>
  <c r="K53" i="13"/>
  <c r="K56" i="13"/>
  <c r="I21" i="13"/>
  <c r="I55" i="13"/>
  <c r="I36" i="13"/>
  <c r="I68" i="13"/>
  <c r="I52" i="13"/>
  <c r="I65" i="13"/>
  <c r="I22" i="13"/>
  <c r="I53" i="13"/>
  <c r="I59" i="13"/>
  <c r="I40" i="13"/>
  <c r="I64" i="13"/>
  <c r="I46" i="13"/>
  <c r="I25" i="13"/>
  <c r="I17" i="13"/>
  <c r="K63" i="13"/>
  <c r="K12" i="13"/>
  <c r="K64" i="13"/>
  <c r="K65" i="13"/>
  <c r="K20" i="13"/>
  <c r="K59" i="13"/>
  <c r="K47" i="13"/>
  <c r="K43" i="13"/>
  <c r="K39" i="13"/>
  <c r="K66" i="13"/>
  <c r="K62" i="13"/>
  <c r="K58" i="13"/>
  <c r="K54" i="13"/>
  <c r="K50" i="13"/>
  <c r="K42" i="13"/>
  <c r="K46" i="13"/>
  <c r="K16" i="13"/>
  <c r="K10" i="13"/>
  <c r="K41" i="13"/>
  <c r="K7" i="13"/>
  <c r="K61" i="13"/>
  <c r="K24" i="13"/>
  <c r="K14" i="13"/>
  <c r="K31" i="13"/>
  <c r="I28" i="13"/>
  <c r="I24" i="13"/>
  <c r="I20" i="13"/>
  <c r="I16" i="13"/>
  <c r="I12" i="13"/>
  <c r="I11" i="13"/>
  <c r="I7" i="13"/>
  <c r="I31" i="13"/>
  <c r="I27" i="13"/>
  <c r="I23" i="13"/>
  <c r="K9" i="13"/>
  <c r="I14" i="13"/>
  <c r="K36" i="13"/>
  <c r="K11" i="13"/>
  <c r="K45" i="13"/>
  <c r="K37" i="13"/>
  <c r="K60" i="13"/>
  <c r="K28" i="13"/>
  <c r="K21" i="13"/>
  <c r="K67" i="13"/>
  <c r="K51" i="13"/>
  <c r="I30" i="13"/>
  <c r="K17" i="13"/>
  <c r="K22" i="13"/>
  <c r="I9" i="13"/>
  <c r="I10" i="13"/>
  <c r="K48" i="13"/>
  <c r="K40" i="13"/>
  <c r="K30" i="13"/>
  <c r="L9" i="13" l="1"/>
  <c r="S9" i="13" s="1"/>
  <c r="I18" i="9" s="1"/>
  <c r="L64" i="13"/>
  <c r="S64" i="13" s="1"/>
  <c r="I65" i="9" s="1"/>
  <c r="L11" i="13"/>
  <c r="S11" i="13" s="1"/>
  <c r="I58" i="9" s="1"/>
  <c r="L46" i="13"/>
  <c r="S46" i="13" s="1"/>
  <c r="I31" i="9" s="1"/>
  <c r="L67" i="13"/>
  <c r="S67" i="13" s="1"/>
  <c r="I69" i="9" s="1"/>
  <c r="L41" i="13"/>
  <c r="S41" i="13" s="1"/>
  <c r="I23" i="9" s="1"/>
  <c r="L51" i="13"/>
  <c r="S51" i="13" s="1"/>
  <c r="I42" i="9" s="1"/>
  <c r="L62" i="13"/>
  <c r="S62" i="13" s="1"/>
  <c r="I63" i="9" s="1"/>
  <c r="L23" i="13"/>
  <c r="S23" i="13" s="1"/>
  <c r="I52" i="9" s="1"/>
  <c r="L27" i="13"/>
  <c r="S27" i="13" s="1"/>
  <c r="I56" i="9" s="1"/>
  <c r="L12" i="13"/>
  <c r="S12" i="13" s="1"/>
  <c r="I24" i="9" s="1"/>
  <c r="L28" i="13"/>
  <c r="S28" i="13" s="1"/>
  <c r="I57" i="9" s="1"/>
  <c r="L22" i="13"/>
  <c r="S22" i="13" s="1"/>
  <c r="I50" i="9" s="1"/>
  <c r="L36" i="13"/>
  <c r="S36" i="13" s="1"/>
  <c r="I12" i="9" s="1"/>
  <c r="L39" i="13"/>
  <c r="S39" i="13" s="1"/>
  <c r="I19" i="9" s="1"/>
  <c r="L45" i="13"/>
  <c r="S45" i="13" s="1"/>
  <c r="I29" i="9" s="1"/>
  <c r="L58" i="13"/>
  <c r="S58" i="13" s="1"/>
  <c r="I49" i="9" s="1"/>
  <c r="L61" i="13"/>
  <c r="S61" i="13" s="1"/>
  <c r="I60" i="9" s="1"/>
  <c r="L10" i="13"/>
  <c r="S10" i="13" s="1"/>
  <c r="I21" i="9" s="1"/>
  <c r="L53" i="13"/>
  <c r="S53" i="13" s="1"/>
  <c r="I44" i="9" s="1"/>
  <c r="L17" i="13"/>
  <c r="S17" i="13" s="1"/>
  <c r="I34" i="9" s="1"/>
  <c r="L40" i="13"/>
  <c r="S40" i="13" s="1"/>
  <c r="I22" i="9" s="1"/>
  <c r="L65" i="13"/>
  <c r="S65" i="13" s="1"/>
  <c r="I67" i="9" s="1"/>
  <c r="L55" i="13"/>
  <c r="S55" i="13" s="1"/>
  <c r="I38" i="9" s="1"/>
  <c r="L60" i="13"/>
  <c r="S60" i="13" s="1"/>
  <c r="I51" i="9" s="1"/>
  <c r="L42" i="13"/>
  <c r="S42" i="13" s="1"/>
  <c r="I25" i="9" s="1"/>
  <c r="L54" i="13"/>
  <c r="S54" i="13" s="1"/>
  <c r="I43" i="9" s="1"/>
  <c r="L47" i="13"/>
  <c r="S47" i="13" s="1"/>
  <c r="I33" i="9" s="1"/>
  <c r="L43" i="13"/>
  <c r="S43" i="13" s="1"/>
  <c r="I27" i="9" s="1"/>
  <c r="L30" i="13"/>
  <c r="S30" i="13" s="1"/>
  <c r="I64" i="9" s="1"/>
  <c r="L24" i="13"/>
  <c r="S24" i="13" s="1"/>
  <c r="I53" i="9" s="1"/>
  <c r="L68" i="13"/>
  <c r="S68" i="13" s="1"/>
  <c r="I70" i="9" s="1"/>
  <c r="L13" i="13"/>
  <c r="S13" i="13" s="1"/>
  <c r="I26" i="9" s="1"/>
  <c r="L14" i="13"/>
  <c r="S14" i="13" s="1"/>
  <c r="I30" i="9" s="1"/>
  <c r="L31" i="13"/>
  <c r="S31" i="13" s="1"/>
  <c r="I66" i="9" s="1"/>
  <c r="L16" i="13"/>
  <c r="S16" i="13" s="1"/>
  <c r="I35" i="9" s="1"/>
  <c r="L20" i="13"/>
  <c r="S20" i="13" s="1"/>
  <c r="I46" i="9" s="1"/>
  <c r="L25" i="13"/>
  <c r="S25" i="13" s="1"/>
  <c r="I54" i="9" s="1"/>
  <c r="L59" i="13"/>
  <c r="S59" i="13" s="1"/>
  <c r="I47" i="9" s="1"/>
  <c r="L52" i="13"/>
  <c r="S52" i="13" s="1"/>
  <c r="I41" i="9" s="1"/>
  <c r="L21" i="13"/>
  <c r="S21" i="13" s="1"/>
  <c r="I45" i="9" s="1"/>
  <c r="L56" i="13"/>
  <c r="S56" i="13" s="1"/>
  <c r="I39" i="9" s="1"/>
  <c r="L63" i="13"/>
  <c r="S63" i="13" s="1"/>
  <c r="I62" i="9" s="1"/>
  <c r="L37" i="13"/>
  <c r="S37" i="13" s="1"/>
  <c r="I20" i="9" s="1"/>
  <c r="L48" i="13"/>
  <c r="S48" i="13" s="1"/>
  <c r="I16" i="9" s="1"/>
  <c r="L66" i="13"/>
  <c r="S66" i="13" s="1"/>
  <c r="I68" i="9" s="1"/>
  <c r="L50" i="13"/>
  <c r="S50" i="13" s="1"/>
  <c r="I59" i="9" s="1"/>
  <c r="L7" i="13"/>
  <c r="S7" i="13" s="1"/>
  <c r="I9" i="9" s="1"/>
  <c r="H65" i="9" l="1"/>
  <c r="H51" i="9"/>
  <c r="H32" i="9"/>
  <c r="H43" i="9"/>
  <c r="H50" i="9"/>
  <c r="H34" i="9"/>
  <c r="H57" i="9"/>
  <c r="H33" i="9"/>
  <c r="H59" i="9"/>
  <c r="H24" i="9"/>
  <c r="H46" i="9"/>
  <c r="H67" i="9"/>
  <c r="H44" i="9"/>
  <c r="H56" i="9"/>
  <c r="H28" i="9"/>
  <c r="H37" i="9"/>
  <c r="H25" i="9"/>
  <c r="H29" i="9"/>
  <c r="H60" i="9"/>
  <c r="H52" i="9"/>
  <c r="H19" i="9"/>
  <c r="H39" i="9"/>
  <c r="H27" i="9"/>
  <c r="H54" i="9"/>
  <c r="H63" i="9"/>
  <c r="H38" i="9"/>
  <c r="H41" i="9"/>
  <c r="H17" i="9"/>
  <c r="H49" i="9"/>
  <c r="H26" i="9"/>
  <c r="H45" i="9"/>
  <c r="H30" i="9"/>
  <c r="H58" i="9"/>
  <c r="H47" i="9"/>
  <c r="H61" i="9"/>
  <c r="H36" i="9"/>
  <c r="H35" i="9"/>
  <c r="H16" i="9"/>
  <c r="H23" i="9"/>
  <c r="H12" i="9"/>
  <c r="H22" i="9"/>
  <c r="H68" i="9"/>
  <c r="H42" i="9"/>
  <c r="H21" i="9"/>
  <c r="H53" i="9"/>
  <c r="H15" i="9"/>
  <c r="H13" i="9"/>
  <c r="H31" i="9"/>
  <c r="H14" i="9"/>
  <c r="H48" i="9"/>
  <c r="H62" i="9"/>
  <c r="H20" i="9"/>
  <c r="H18" i="9"/>
  <c r="H64" i="9"/>
  <c r="H69" i="9"/>
  <c r="H70" i="9"/>
  <c r="H9" i="9"/>
  <c r="H10" i="9"/>
  <c r="H11" i="9"/>
  <c r="H40" i="9"/>
  <c r="H55" i="9"/>
  <c r="H66" i="9"/>
  <c r="AU69" i="9"/>
  <c r="AU53" i="9"/>
  <c r="AU37" i="9"/>
  <c r="AU21" i="9"/>
  <c r="AU58" i="9"/>
  <c r="AU14" i="9"/>
  <c r="AU56" i="9"/>
  <c r="AU40" i="9"/>
  <c r="AU24" i="9"/>
  <c r="AU62" i="9"/>
  <c r="AU67" i="9"/>
  <c r="AU51" i="9"/>
  <c r="AU35" i="9"/>
  <c r="AU19" i="9"/>
  <c r="AU54" i="9"/>
  <c r="AU25" i="9"/>
  <c r="AU28" i="9"/>
  <c r="AU55" i="9"/>
  <c r="AU66" i="9"/>
  <c r="AU65" i="9"/>
  <c r="AU49" i="9"/>
  <c r="AU33" i="9"/>
  <c r="AU17" i="9"/>
  <c r="AU46" i="9"/>
  <c r="AU68" i="9"/>
  <c r="AU52" i="9"/>
  <c r="AU36" i="9"/>
  <c r="AU20" i="9"/>
  <c r="AU42" i="9"/>
  <c r="AU63" i="9"/>
  <c r="AU47" i="9"/>
  <c r="AU31" i="9"/>
  <c r="AU15" i="9"/>
  <c r="AU50" i="9"/>
  <c r="AU57" i="9"/>
  <c r="AU70" i="9"/>
  <c r="AU60" i="9"/>
  <c r="AU12" i="9"/>
  <c r="AU39" i="9"/>
  <c r="AU61" i="9"/>
  <c r="AU45" i="9"/>
  <c r="AU29" i="9"/>
  <c r="AU13" i="9"/>
  <c r="AU34" i="9"/>
  <c r="AU64" i="9"/>
  <c r="AU48" i="9"/>
  <c r="AU32" i="9"/>
  <c r="AU16" i="9"/>
  <c r="AU22" i="9"/>
  <c r="AU59" i="9"/>
  <c r="AU43" i="9"/>
  <c r="AU27" i="9"/>
  <c r="AU11" i="9"/>
  <c r="AU38" i="9"/>
  <c r="AU18" i="9"/>
  <c r="AU41" i="9"/>
  <c r="AU26" i="9"/>
  <c r="AU44" i="9"/>
  <c r="AU10" i="9"/>
  <c r="AU23" i="9"/>
  <c r="AU30" i="9"/>
  <c r="AU9" i="9"/>
</calcChain>
</file>

<file path=xl/sharedStrings.xml><?xml version="1.0" encoding="utf-8"?>
<sst xmlns="http://schemas.openxmlformats.org/spreadsheetml/2006/main" count="4749" uniqueCount="295">
  <si>
    <t>Country code</t>
  </si>
  <si>
    <t>Economy</t>
  </si>
  <si>
    <t>Region</t>
  </si>
  <si>
    <t>Region code</t>
  </si>
  <si>
    <t>WB Income Group</t>
  </si>
  <si>
    <t>ARM</t>
  </si>
  <si>
    <t>Armenia</t>
  </si>
  <si>
    <t>Europe &amp; Central Asia</t>
  </si>
  <si>
    <t>ECA</t>
  </si>
  <si>
    <t>Lower middle income</t>
  </si>
  <si>
    <t>BGD</t>
  </si>
  <si>
    <t>Bangladesh</t>
  </si>
  <si>
    <t>South Asia</t>
  </si>
  <si>
    <t>SAS</t>
  </si>
  <si>
    <t>BEN</t>
  </si>
  <si>
    <t>Benin</t>
  </si>
  <si>
    <t>Sub-Saharan Africa</t>
  </si>
  <si>
    <t>SSA</t>
  </si>
  <si>
    <t>Low income</t>
  </si>
  <si>
    <t>BOL</t>
  </si>
  <si>
    <t>Bolivia</t>
  </si>
  <si>
    <t>Latin America &amp; Caribbean</t>
  </si>
  <si>
    <t>LAC</t>
  </si>
  <si>
    <t>BIH</t>
  </si>
  <si>
    <t>Bosnia and Herzegovina</t>
  </si>
  <si>
    <t>Upper middle income</t>
  </si>
  <si>
    <t>BFA</t>
  </si>
  <si>
    <t>Burkina Faso</t>
  </si>
  <si>
    <t>BDI</t>
  </si>
  <si>
    <t>Burundi</t>
  </si>
  <si>
    <t>KHM</t>
  </si>
  <si>
    <t>Cambodia</t>
  </si>
  <si>
    <t>East Asia &amp; Pacific</t>
  </si>
  <si>
    <t>EAP</t>
  </si>
  <si>
    <t>CMR</t>
  </si>
  <si>
    <t>Cameroon</t>
  </si>
  <si>
    <t>CHL</t>
  </si>
  <si>
    <t>Chile</t>
  </si>
  <si>
    <t>High income: OECD</t>
  </si>
  <si>
    <t>OECD</t>
  </si>
  <si>
    <t>High income</t>
  </si>
  <si>
    <t>COL</t>
  </si>
  <si>
    <t>Colombia</t>
  </si>
  <si>
    <t>CIV</t>
  </si>
  <si>
    <t>Côte d'Ivoire</t>
  </si>
  <si>
    <t>DNK</t>
  </si>
  <si>
    <t>Denmark</t>
  </si>
  <si>
    <t>EGY</t>
  </si>
  <si>
    <t>Egypt, Arab Rep.</t>
  </si>
  <si>
    <t>Middle East &amp; North Africa</t>
  </si>
  <si>
    <t>MNA</t>
  </si>
  <si>
    <t>ETH</t>
  </si>
  <si>
    <t>Ethiopia</t>
  </si>
  <si>
    <t>GEO</t>
  </si>
  <si>
    <t>Georgia</t>
  </si>
  <si>
    <t>GHA</t>
  </si>
  <si>
    <t>Ghana</t>
  </si>
  <si>
    <t>GRC</t>
  </si>
  <si>
    <t>Greece</t>
  </si>
  <si>
    <t>GTM</t>
  </si>
  <si>
    <t>Guatemala</t>
  </si>
  <si>
    <t>HTI</t>
  </si>
  <si>
    <t>Haiti</t>
  </si>
  <si>
    <t>IND</t>
  </si>
  <si>
    <t>ITA</t>
  </si>
  <si>
    <t>Italy</t>
  </si>
  <si>
    <t>JOR</t>
  </si>
  <si>
    <t>Jordan</t>
  </si>
  <si>
    <t>KAZ</t>
  </si>
  <si>
    <t>Kazakhstan</t>
  </si>
  <si>
    <t>KEN</t>
  </si>
  <si>
    <t>Kenya</t>
  </si>
  <si>
    <t>KOR</t>
  </si>
  <si>
    <t>Korea, Rep.</t>
  </si>
  <si>
    <t>KGZ</t>
  </si>
  <si>
    <t>Kyrgyz Republic</t>
  </si>
  <si>
    <t>LAO</t>
  </si>
  <si>
    <t>Lao PDR</t>
  </si>
  <si>
    <t>LBR</t>
  </si>
  <si>
    <t>Liberia</t>
  </si>
  <si>
    <t>MWI</t>
  </si>
  <si>
    <t>Malawi</t>
  </si>
  <si>
    <t>MYS</t>
  </si>
  <si>
    <t>Malaysia</t>
  </si>
  <si>
    <t>MLI</t>
  </si>
  <si>
    <t>Mali</t>
  </si>
  <si>
    <t>MEX</t>
  </si>
  <si>
    <t>Mexico</t>
  </si>
  <si>
    <t>MAR</t>
  </si>
  <si>
    <t>Morocco</t>
  </si>
  <si>
    <t>MOZ</t>
  </si>
  <si>
    <t>Mozambique</t>
  </si>
  <si>
    <t>MMR</t>
  </si>
  <si>
    <t>Myanmar</t>
  </si>
  <si>
    <t>NPL</t>
  </si>
  <si>
    <t>Nepal</t>
  </si>
  <si>
    <t>NLD</t>
  </si>
  <si>
    <t>Netherlands</t>
  </si>
  <si>
    <t>NIC</t>
  </si>
  <si>
    <t>Nicaragua</t>
  </si>
  <si>
    <t>NER</t>
  </si>
  <si>
    <t>Niger</t>
  </si>
  <si>
    <t>NGA</t>
  </si>
  <si>
    <t>Nigeria</t>
  </si>
  <si>
    <t>PER</t>
  </si>
  <si>
    <t>Peru</t>
  </si>
  <si>
    <t>PHL</t>
  </si>
  <si>
    <t>Philippines</t>
  </si>
  <si>
    <t>POL</t>
  </si>
  <si>
    <t>Poland</t>
  </si>
  <si>
    <t>ROM</t>
  </si>
  <si>
    <t>Romania</t>
  </si>
  <si>
    <t>RUS</t>
  </si>
  <si>
    <t>Russian Federation</t>
  </si>
  <si>
    <t>RWA</t>
  </si>
  <si>
    <t>Rwanda</t>
  </si>
  <si>
    <t>SEN</t>
  </si>
  <si>
    <t>Senegal</t>
  </si>
  <si>
    <t>SRB</t>
  </si>
  <si>
    <t>Serbia</t>
  </si>
  <si>
    <t>ESP</t>
  </si>
  <si>
    <t>Spain</t>
  </si>
  <si>
    <t>LKA</t>
  </si>
  <si>
    <t>Sri Lanka</t>
  </si>
  <si>
    <t>SDN</t>
  </si>
  <si>
    <t>Sudan</t>
  </si>
  <si>
    <t>TJK</t>
  </si>
  <si>
    <t>Tajikistan</t>
  </si>
  <si>
    <t>TZA</t>
  </si>
  <si>
    <t>Tanzania</t>
  </si>
  <si>
    <t>THA</t>
  </si>
  <si>
    <t>Thailand</t>
  </si>
  <si>
    <t>TUR</t>
  </si>
  <si>
    <t>Turkey</t>
  </si>
  <si>
    <t>UGA</t>
  </si>
  <si>
    <t>Uganda</t>
  </si>
  <si>
    <t>UKR</t>
  </si>
  <si>
    <t>Ukraine</t>
  </si>
  <si>
    <t>URY</t>
  </si>
  <si>
    <t>Uruguay</t>
  </si>
  <si>
    <t>VNM</t>
  </si>
  <si>
    <t>Vietnam</t>
  </si>
  <si>
    <t>ZMB</t>
  </si>
  <si>
    <t>Zambia</t>
  </si>
  <si>
    <t>ZWE</t>
  </si>
  <si>
    <t>Zimbabwe</t>
  </si>
  <si>
    <t>India</t>
  </si>
  <si>
    <t>Fertilizer</t>
  </si>
  <si>
    <t>Machinery</t>
  </si>
  <si>
    <t>Finance</t>
  </si>
  <si>
    <t>Transport</t>
  </si>
  <si>
    <t>Water</t>
  </si>
  <si>
    <t>ICT</t>
  </si>
  <si>
    <t>No data</t>
  </si>
  <si>
    <t>No practice</t>
  </si>
  <si>
    <t>N/A</t>
  </si>
  <si>
    <t>Product group</t>
  </si>
  <si>
    <t>Cropping seasons</t>
  </si>
  <si>
    <t>Two</t>
  </si>
  <si>
    <t>FRUIT</t>
  </si>
  <si>
    <t>CASH_CROP</t>
  </si>
  <si>
    <t>VEGETABLE</t>
  </si>
  <si>
    <t>CEREAL</t>
  </si>
  <si>
    <t>One</t>
  </si>
  <si>
    <t>Seed</t>
  </si>
  <si>
    <t>Seed DTF</t>
  </si>
  <si>
    <t>Fertilizer DTF</t>
  </si>
  <si>
    <t>Machinery DTF</t>
  </si>
  <si>
    <t>Finance DTF</t>
  </si>
  <si>
    <t>Markets DTF</t>
  </si>
  <si>
    <t>Transport DTF</t>
  </si>
  <si>
    <t>Water DTF</t>
  </si>
  <si>
    <t>ICT DTF</t>
  </si>
  <si>
    <t>Time to register a new fertilizer product
(days)</t>
  </si>
  <si>
    <t>Cost to register a new fertilizer product
(% income per capita)</t>
  </si>
  <si>
    <t>Time to register a tractor
(days)</t>
  </si>
  <si>
    <t>Cost to register a tractor
(% income per capita)</t>
  </si>
  <si>
    <t>Time to obtain type approval
(days)</t>
  </si>
  <si>
    <t>Cost to obtain type approval
(% income per capita)</t>
  </si>
  <si>
    <t>Documents to export agricultural goods
(number)</t>
  </si>
  <si>
    <t>Time to export agricultural goods
(days)</t>
  </si>
  <si>
    <t>Cost to export agricultural goods
(% income per capita)</t>
  </si>
  <si>
    <t>Time to obtain trucking licenses
(days)</t>
  </si>
  <si>
    <t>Cost to obtain trucking licenses
(% income per capita)</t>
  </si>
  <si>
    <t>Time to obtain cross-border licenses
(days)</t>
  </si>
  <si>
    <t>Cost to obtain cross-border licenses
(% income per capita)</t>
  </si>
  <si>
    <t>Markets</t>
  </si>
  <si>
    <t>Plant breeding index
(0-10)</t>
  </si>
  <si>
    <t>Variety registration index
(0-8)</t>
  </si>
  <si>
    <t>Time to register new variety
(days)</t>
  </si>
  <si>
    <t>Cost to register new variety
(% income per capita)</t>
  </si>
  <si>
    <t>Seed quality control index
(0-12)</t>
  </si>
  <si>
    <t>Fertilizer registration index
(0-7)</t>
  </si>
  <si>
    <t>Quality control of fertilizer index
(0-7)</t>
  </si>
  <si>
    <t>Importing &amp; distributing fertilizer index
(0-7)</t>
  </si>
  <si>
    <t>Tractor testing and standards index
(0-8)</t>
  </si>
  <si>
    <t>Tractor import index
(0-5)</t>
  </si>
  <si>
    <t>Producer organizations index
(0-13)</t>
  </si>
  <si>
    <t>Plant protection index
(0-8)</t>
  </si>
  <si>
    <t>Agricultural trade index
(0-9)</t>
  </si>
  <si>
    <t>Trucking licenses and operations index
(0-11)</t>
  </si>
  <si>
    <t>Cross-border transportation index
(0-9)</t>
  </si>
  <si>
    <t>Integrated water resource management index
(0-29)</t>
  </si>
  <si>
    <t>Individual water use for irrigation index
(0-20)</t>
  </si>
  <si>
    <t>Information &amp; communication technology index
(0-9)</t>
  </si>
  <si>
    <t>Seed Ranking</t>
  </si>
  <si>
    <t>Fertilizer Ranking</t>
  </si>
  <si>
    <t>Machinery Ranking</t>
  </si>
  <si>
    <t>Finance Ranking</t>
  </si>
  <si>
    <t>Markets Ranking</t>
  </si>
  <si>
    <t>Transport Ranking</t>
  </si>
  <si>
    <t>Water Ranking</t>
  </si>
  <si>
    <t>ICT Ranking</t>
  </si>
  <si>
    <t>Enabling the Business of Agriculture 2017</t>
  </si>
  <si>
    <r>
      <rPr>
        <i/>
        <sz val="11"/>
        <color theme="1"/>
        <rFont val="Calibri"/>
        <family val="2"/>
        <scheme val="minor"/>
      </rPr>
      <t>Enabling the Business of Agriculture</t>
    </r>
    <r>
      <rPr>
        <sz val="11"/>
        <color theme="1"/>
        <rFont val="Calibri"/>
        <family val="2"/>
        <scheme val="minor"/>
      </rPr>
      <t xml:space="preserve"> examines and monitors regulations that impact how markets function in the agriculture and agribusiness sectors. The ultimate aim is to promote smart regulations that ensure safety and quality control as well as efficient regulatory processes that support thriving agribusinesses.</t>
    </r>
  </si>
  <si>
    <t>See http://eba.worldbank.org for full details on available data and the project's methdology.</t>
  </si>
  <si>
    <t>Tractor operations index
(0-5)</t>
  </si>
  <si>
    <t>Branchless Banking - Agent banking index
(0-5)</t>
  </si>
  <si>
    <t>Branchless Banking - E-money index
(0-4)</t>
  </si>
  <si>
    <t>Movable Collateral - Warehouse receipts index
(0-5)</t>
  </si>
  <si>
    <t>Movable Collateral - Doing Business - getting credit index
(0-8)</t>
  </si>
  <si>
    <t>Non-bank Lending Institutions - Microfinance institutions index
(0-7)</t>
  </si>
  <si>
    <t>Non-bank Lending Institutions - Financial cooperatives index
(0-7)</t>
  </si>
  <si>
    <t xml:space="preserve">Value to Simulate:  </t>
  </si>
  <si>
    <t xml:space="preserve">Simulated Results:  </t>
  </si>
  <si>
    <t xml:space="preserve">worst performance - 1 cropping season </t>
  </si>
  <si>
    <t>frontier - 1 cropping season</t>
  </si>
  <si>
    <t>worst performance - 2 cropping seasons</t>
  </si>
  <si>
    <t>frontier - 2 cropping seasons</t>
  </si>
  <si>
    <t>Seed
4.1 Registration of new varieties (Time)</t>
  </si>
  <si>
    <t>DTF time</t>
  </si>
  <si>
    <t>Seed
4.2 Registration of new varieties (Cost)</t>
  </si>
  <si>
    <t>DTF cost</t>
  </si>
  <si>
    <t>c</t>
  </si>
  <si>
    <t>X</t>
  </si>
  <si>
    <t>worst performance</t>
  </si>
  <si>
    <t>frontier</t>
  </si>
  <si>
    <t>Time Fertilizer</t>
  </si>
  <si>
    <t>Cost Fertilizer</t>
  </si>
  <si>
    <t>Time Type Approval</t>
  </si>
  <si>
    <t>Cost Type Approval</t>
  </si>
  <si>
    <t>Time Tractor Registration</t>
  </si>
  <si>
    <t>Cost Tractor Registration</t>
  </si>
  <si>
    <t>T&amp;M Average</t>
  </si>
  <si>
    <t>Overall DTF Score</t>
  </si>
  <si>
    <t>Raw Plant breeding index (0-10)</t>
  </si>
  <si>
    <t>Raw Variety registration index (0-8)</t>
  </si>
  <si>
    <t>Raw Seed quality control index (0-12)</t>
  </si>
  <si>
    <t>Plant breeding index (0-10) - Data Gap Adjusted</t>
  </si>
  <si>
    <t>Variety registration index (0-8) - Data Gap Adjusted</t>
  </si>
  <si>
    <t>Seed quality control index (0-12) - Data Gap Adjusted</t>
  </si>
  <si>
    <t>Raw Fertilizer registration index (0-7)</t>
  </si>
  <si>
    <t>Raw Quality control of fertilizer index (0-7)</t>
  </si>
  <si>
    <t>Raw Importing &amp; distributing fertilizer index (0-7)</t>
  </si>
  <si>
    <t>Fertilizer registration index (0-7) - Data Gap Adjusted</t>
  </si>
  <si>
    <t>Quality control of fertilizer index (0-7) - Data Gap Adjusted</t>
  </si>
  <si>
    <t>Importing &amp; distributing fertilizer index (0-7) - Data Gap Adjusted</t>
  </si>
  <si>
    <t>Raw Tractor operations index (0-5)</t>
  </si>
  <si>
    <t>Raw Tractor testing and standards index (0-8)</t>
  </si>
  <si>
    <t>Raw Tractor import index (0-5)</t>
  </si>
  <si>
    <t>Tractor operations index (0-5) - Data Gap Adjusted</t>
  </si>
  <si>
    <t>Tractor testing and standards index (0-8) - Data Gap Adjusted</t>
  </si>
  <si>
    <t>Tractor import index (0-5) - Data Gap Adjusted</t>
  </si>
  <si>
    <t>Average T&amp;M Type Approval</t>
  </si>
  <si>
    <t>Average T&amp;M Tractor Registration</t>
  </si>
  <si>
    <t>Docs</t>
  </si>
  <si>
    <t>DTF Docs</t>
  </si>
  <si>
    <t>Time Markets</t>
  </si>
  <si>
    <t>Cost Markets</t>
  </si>
  <si>
    <t>Raw Producer organizations index (0-13)</t>
  </si>
  <si>
    <t>Raw Plant protection index (0-8)</t>
  </si>
  <si>
    <t>Raw Agricultural trade index (0-9)</t>
  </si>
  <si>
    <t>Producer organizations index (0-13) - Data Gap Adjusted</t>
  </si>
  <si>
    <t>Plant protection index (0-8) - Data Gap Adjusted</t>
  </si>
  <si>
    <t>Agricultural trade index (0-9) - Data Gap Adjusted</t>
  </si>
  <si>
    <t>Full Data Below</t>
  </si>
  <si>
    <t xml:space="preserve">Original EBA17 Results:  </t>
  </si>
  <si>
    <t xml:space="preserve">Topic:  </t>
  </si>
  <si>
    <t xml:space="preserve">Indicator:  </t>
  </si>
  <si>
    <t>--------&gt;</t>
  </si>
  <si>
    <t>Enter values here ----&gt;</t>
  </si>
  <si>
    <t>1. Select a Country:</t>
  </si>
  <si>
    <t xml:space="preserve">2. Enter New Values to Simulate:  </t>
  </si>
  <si>
    <t xml:space="preserve">3. View Simulated Results:  </t>
  </si>
  <si>
    <t xml:space="preserve">4. Compare Original EBA17 Results:  </t>
  </si>
  <si>
    <t>Full Simulated Data Below</t>
  </si>
  <si>
    <t>About the EBA Project</t>
  </si>
  <si>
    <t>About the Distance to Frontier Calculator</t>
  </si>
  <si>
    <t>Disclaimer</t>
  </si>
  <si>
    <t>Although we try our best to ensure that the information and calculations provided in this file are accurate, the official source for EBA data remains the EBA project website itself. Given that this file may be modified after download, we cannot guarantee the accuracy of information. Please do not hesitate to contact us if you have any further questions about the limitations of this file.
This file was prepared using Microsoft Excel 2016. It may display differently in earlier versions of Excel. If you notice problems with this file, please let us know at: eba@worldbank.org.</t>
  </si>
  <si>
    <r>
      <t xml:space="preserve">To simulate possible reforms in a country, first, select the desired country from the drop down selection box in cell B4. Then, scroll to the right to find your desired topic and enter in new values to simulate EBA scores and rankings assuming that all other countries remain static. Simulated values are displayed in Row 4 in </t>
    </r>
    <r>
      <rPr>
        <sz val="11"/>
        <color theme="9"/>
        <rFont val="Calibri"/>
        <family val="2"/>
        <scheme val="minor"/>
      </rPr>
      <t>Green</t>
    </r>
    <r>
      <rPr>
        <sz val="11"/>
        <color theme="1"/>
        <rFont val="Calibri"/>
        <family val="2"/>
        <scheme val="minor"/>
      </rPr>
      <t>. For comparison, original EBA 2017 data is included in Black in Row 5. Please keep in mind that EBA legal indicators have a maximum and minimum allowable value according to the number of data points included. If you accidentally enter a higher value in these cells, the cell will display red fill. To return to original values, clear the white cell using the Delete key to clear contents.</t>
    </r>
  </si>
  <si>
    <t>Reform Simulator</t>
  </si>
  <si>
    <t>20 July 2017</t>
  </si>
  <si>
    <t>The Reform Simulator is an interactive resource meant to allow users to explore how potential reforms to a country's legal framework might impact upon the country's EBA scores. When using this simulator, please simultaneously refer to the 2017 EBA Report for full details on methodology, individual data points included, and the calculation of EBA scores.</t>
  </si>
  <si>
    <t xml:space="preserve">This simulator relies on hidden worksheets to complete score calculations and the comparison with EBA 2017 data. Thus, you will notice that formulas in the 'Calculator' worksheet link to other sheets. If any of these formulas are accidentally deleted, the simulator will no longer function correctly. If this happens, please download a new file version of the simulator from our website.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</si>
</sst>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000"/>
    <numFmt numFmtId="166" formatCode="0.00000"/>
  </numFmts>
  <fonts count="25" x14ac:knownFonts="1">
    <font>
      <sz val="11"/>
      <color theme="1"/>
      <name val="Calibri"/>
      <family val="2"/>
      <scheme val="minor"/>
    </font>
    <font>
      <sz val="10"/>
      <name val="Arial"/>
      <family val="2"/>
    </font>
    <font>
      <b/>
      <sz val="8"/>
      <name val="Arial"/>
      <family val="2"/>
    </font>
    <font>
      <sz val="8"/>
      <name val="Arial"/>
      <family val="2"/>
    </font>
    <font>
      <sz val="8"/>
      <color theme="1"/>
      <name val="Arial"/>
      <family val="2"/>
    </font>
    <font>
      <b/>
      <sz val="8"/>
      <color theme="1"/>
      <name val="Arial"/>
      <family val="2"/>
    </font>
    <font>
      <b/>
      <sz val="8"/>
      <color theme="0"/>
      <name val="Arial"/>
      <family val="2"/>
    </font>
    <font>
      <i/>
      <sz val="11"/>
      <color theme="1"/>
      <name val="Calibri"/>
      <family val="2"/>
      <scheme val="minor"/>
    </font>
    <font>
      <sz val="8"/>
      <color theme="0"/>
      <name val="Arial"/>
      <family val="2"/>
    </font>
    <font>
      <sz val="9"/>
      <color theme="1"/>
      <name val="Arial"/>
      <family val="2"/>
    </font>
    <font>
      <sz val="9"/>
      <color theme="0"/>
      <name val="Arial"/>
      <family val="2"/>
    </font>
    <font>
      <sz val="14"/>
      <color theme="0"/>
      <name val="Arial"/>
      <family val="2"/>
    </font>
    <font>
      <sz val="14"/>
      <color theme="1"/>
      <name val="Arial"/>
      <family val="2"/>
    </font>
    <font>
      <i/>
      <sz val="14"/>
      <color theme="0"/>
      <name val="Arial"/>
      <family val="2"/>
    </font>
    <font>
      <i/>
      <sz val="8"/>
      <color theme="0"/>
      <name val="Arial"/>
      <family val="2"/>
    </font>
    <font>
      <sz val="14"/>
      <name val="Arial"/>
      <family val="2"/>
    </font>
    <font>
      <sz val="11"/>
      <name val="Arial"/>
      <family val="2"/>
    </font>
    <font>
      <b/>
      <sz val="14"/>
      <color theme="1"/>
      <name val="Arial"/>
      <family val="2"/>
    </font>
    <font>
      <b/>
      <sz val="14"/>
      <color theme="0"/>
      <name val="Arial"/>
      <family val="2"/>
    </font>
    <font>
      <b/>
      <i/>
      <sz val="8"/>
      <color theme="0"/>
      <name val="Arial"/>
      <family val="2"/>
    </font>
    <font>
      <b/>
      <sz val="12"/>
      <color theme="1"/>
      <name val="Calibri"/>
      <family val="2"/>
      <scheme val="minor"/>
    </font>
    <font>
      <b/>
      <sz val="14"/>
      <color theme="1"/>
      <name val="Calibri"/>
      <family val="2"/>
      <scheme val="minor"/>
    </font>
    <font>
      <i/>
      <sz val="8"/>
      <color rgb="FFFF0000"/>
      <name val="Arial"/>
      <family val="2"/>
    </font>
    <font>
      <b/>
      <sz val="20"/>
      <color theme="1"/>
      <name val="Calibri"/>
      <family val="2"/>
      <scheme val="minor"/>
    </font>
    <font>
      <sz val="11"/>
      <color theme="9"/>
      <name val="Calibri"/>
      <family val="2"/>
      <scheme val="minor"/>
    </font>
  </fonts>
  <fills count="13">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4"/>
        <bgColor indexed="64"/>
      </patternFill>
    </fill>
    <fill>
      <patternFill patternType="solid">
        <fgColor theme="1"/>
        <bgColor indexed="64"/>
      </patternFill>
    </fill>
    <fill>
      <patternFill patternType="solid">
        <fgColor theme="2"/>
        <bgColor indexed="64"/>
      </patternFill>
    </fill>
    <fill>
      <patternFill patternType="solid">
        <fgColor rgb="FFFFFFCC"/>
        <bgColor indexed="64"/>
      </patternFill>
    </fill>
    <fill>
      <patternFill patternType="solid">
        <fgColor rgb="FF92D050"/>
        <bgColor indexed="64"/>
      </patternFill>
    </fill>
    <fill>
      <patternFill patternType="solid">
        <fgColor theme="5" tint="0.39997558519241921"/>
        <bgColor indexed="64"/>
      </patternFill>
    </fill>
    <fill>
      <patternFill patternType="solid">
        <fgColor theme="0"/>
        <bgColor indexed="64"/>
      </patternFill>
    </fill>
    <fill>
      <patternFill patternType="solid">
        <fgColor rgb="FF7030A0"/>
        <bgColor indexed="64"/>
      </patternFill>
    </fill>
    <fill>
      <patternFill patternType="solid">
        <fgColor theme="6" tint="0.59999389629810485"/>
        <bgColor indexed="64"/>
      </patternFill>
    </fill>
  </fills>
  <borders count="19">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indexed="64"/>
      </left>
      <right/>
      <top/>
      <bottom/>
      <diagonal/>
    </border>
    <border>
      <left style="thin">
        <color indexed="64"/>
      </left>
      <right style="thin">
        <color theme="0"/>
      </right>
      <top style="thin">
        <color theme="0"/>
      </top>
      <bottom style="thin">
        <color theme="0"/>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theme="1" tint="0.34998626667073579"/>
      </bottom>
      <diagonal/>
    </border>
    <border>
      <left/>
      <right style="thin">
        <color theme="1" tint="0.34998626667073579"/>
      </right>
      <top/>
      <bottom/>
      <diagonal/>
    </border>
    <border>
      <left style="thin">
        <color theme="1" tint="0.34998626667073579"/>
      </left>
      <right style="thin">
        <color theme="2" tint="-0.249977111117893"/>
      </right>
      <top style="thin">
        <color theme="1" tint="0.34998626667073579"/>
      </top>
      <bottom style="thin">
        <color theme="2" tint="-0.249977111117893"/>
      </bottom>
      <diagonal/>
    </border>
  </borders>
  <cellStyleXfs count="2">
    <xf numFmtId="0" fontId="0" fillId="0" borderId="0"/>
    <xf numFmtId="0" fontId="1" fillId="0" borderId="0"/>
  </cellStyleXfs>
  <cellXfs count="146">
    <xf numFmtId="0" fontId="0" fillId="0" borderId="0" xfId="0"/>
    <xf numFmtId="0" fontId="4" fillId="0" borderId="0" xfId="0" applyFont="1"/>
    <xf numFmtId="0" fontId="4" fillId="0" borderId="0" xfId="0" applyFont="1" applyBorder="1"/>
    <xf numFmtId="0" fontId="3" fillId="0" borderId="0" xfId="0" applyFont="1" applyFill="1" applyBorder="1"/>
    <xf numFmtId="164" fontId="3" fillId="0" borderId="0" xfId="0" applyNumberFormat="1" applyFont="1" applyFill="1" applyBorder="1" applyAlignment="1">
      <alignment horizontal="center"/>
    </xf>
    <xf numFmtId="0" fontId="2" fillId="2" borderId="1" xfId="1" applyFont="1" applyFill="1" applyBorder="1" applyAlignment="1">
      <alignment horizontal="center" vertical="top" wrapText="1"/>
    </xf>
    <xf numFmtId="0" fontId="2" fillId="0" borderId="1" xfId="1" applyFont="1" applyFill="1" applyBorder="1" applyAlignment="1">
      <alignment horizontal="center" vertical="top" wrapText="1"/>
    </xf>
    <xf numFmtId="0" fontId="2" fillId="3" borderId="1" xfId="1" applyFont="1" applyFill="1" applyBorder="1" applyAlignment="1">
      <alignment horizontal="center" vertical="top" wrapText="1"/>
    </xf>
    <xf numFmtId="0" fontId="2" fillId="4" borderId="1" xfId="1" applyFont="1" applyFill="1" applyBorder="1" applyAlignment="1">
      <alignment horizontal="center" vertical="top" wrapText="1"/>
    </xf>
    <xf numFmtId="164" fontId="5" fillId="0" borderId="1" xfId="0" applyNumberFormat="1" applyFont="1" applyFill="1" applyBorder="1" applyAlignment="1" applyProtection="1">
      <alignment horizontal="center" vertical="top" wrapText="1"/>
      <protection locked="0"/>
    </xf>
    <xf numFmtId="0" fontId="5" fillId="4" borderId="1" xfId="0" applyFont="1" applyFill="1" applyBorder="1" applyAlignment="1">
      <alignment horizontal="center" vertical="top" wrapText="1"/>
    </xf>
    <xf numFmtId="0" fontId="5" fillId="0" borderId="1" xfId="0" applyFont="1" applyFill="1" applyBorder="1" applyAlignment="1">
      <alignment horizontal="center" vertical="top" wrapText="1"/>
    </xf>
    <xf numFmtId="1" fontId="3" fillId="0" borderId="0" xfId="0" applyNumberFormat="1" applyFont="1" applyFill="1" applyBorder="1" applyAlignment="1">
      <alignment horizontal="center"/>
    </xf>
    <xf numFmtId="0" fontId="4" fillId="0" borderId="0" xfId="0" applyFont="1" applyFill="1"/>
    <xf numFmtId="2" fontId="2" fillId="4" borderId="1" xfId="1" applyNumberFormat="1" applyFont="1" applyFill="1" applyBorder="1" applyAlignment="1">
      <alignment horizontal="center" vertical="top" wrapText="1"/>
    </xf>
    <xf numFmtId="2" fontId="4" fillId="0" borderId="0" xfId="0" applyNumberFormat="1" applyFont="1"/>
    <xf numFmtId="2" fontId="5" fillId="4" borderId="1" xfId="0" applyNumberFormat="1" applyFont="1" applyFill="1" applyBorder="1" applyAlignment="1">
      <alignment horizontal="center" vertical="top" wrapText="1"/>
    </xf>
    <xf numFmtId="1" fontId="2" fillId="3" borderId="1" xfId="1" applyNumberFormat="1" applyFont="1" applyFill="1" applyBorder="1" applyAlignment="1">
      <alignment horizontal="center" vertical="top" wrapText="1"/>
    </xf>
    <xf numFmtId="1" fontId="4" fillId="0" borderId="0" xfId="0" applyNumberFormat="1" applyFont="1"/>
    <xf numFmtId="1" fontId="5" fillId="0" borderId="1" xfId="0" applyNumberFormat="1" applyFont="1" applyFill="1" applyBorder="1" applyAlignment="1" applyProtection="1">
      <alignment horizontal="center" vertical="top" wrapText="1"/>
      <protection locked="0"/>
    </xf>
    <xf numFmtId="1" fontId="4" fillId="0" borderId="0" xfId="0" applyNumberFormat="1" applyFont="1" applyFill="1"/>
    <xf numFmtId="1" fontId="2" fillId="0" borderId="1" xfId="1" applyNumberFormat="1" applyFont="1" applyFill="1" applyBorder="1" applyAlignment="1">
      <alignment horizontal="center" vertical="top" wrapText="1"/>
    </xf>
    <xf numFmtId="0" fontId="8" fillId="5" borderId="0" xfId="0" applyFont="1" applyFill="1" applyBorder="1" applyAlignment="1"/>
    <xf numFmtId="0" fontId="6" fillId="5" borderId="0" xfId="1" applyFont="1" applyFill="1" applyBorder="1" applyAlignment="1">
      <alignment horizontal="center" vertical="top" wrapText="1"/>
    </xf>
    <xf numFmtId="0" fontId="8" fillId="5" borderId="0" xfId="0" applyFont="1" applyFill="1"/>
    <xf numFmtId="0" fontId="2" fillId="2" borderId="0" xfId="1" applyFont="1" applyFill="1" applyBorder="1" applyAlignment="1">
      <alignment horizontal="center" vertical="top" wrapText="1"/>
    </xf>
    <xf numFmtId="0" fontId="5" fillId="0" borderId="0" xfId="0" applyFont="1" applyAlignment="1">
      <alignment vertical="top" wrapText="1"/>
    </xf>
    <xf numFmtId="0" fontId="5" fillId="7" borderId="0" xfId="0" applyFont="1" applyFill="1" applyAlignment="1">
      <alignment vertical="top" wrapText="1"/>
    </xf>
    <xf numFmtId="0" fontId="3" fillId="0" borderId="0" xfId="0" applyFont="1"/>
    <xf numFmtId="0" fontId="3" fillId="0" borderId="0" xfId="0" applyFont="1" applyFill="1"/>
    <xf numFmtId="1" fontId="3" fillId="6" borderId="0" xfId="0" applyNumberFormat="1" applyFont="1" applyFill="1" applyBorder="1" applyAlignment="1">
      <alignment horizontal="center"/>
    </xf>
    <xf numFmtId="2" fontId="3" fillId="6" borderId="0" xfId="0" applyNumberFormat="1" applyFont="1" applyFill="1" applyBorder="1" applyAlignment="1">
      <alignment horizontal="center"/>
    </xf>
    <xf numFmtId="0" fontId="4" fillId="0" borderId="8" xfId="0" applyFont="1" applyBorder="1"/>
    <xf numFmtId="0" fontId="0" fillId="0" borderId="8" xfId="0" applyBorder="1"/>
    <xf numFmtId="0" fontId="2" fillId="0" borderId="9" xfId="1" applyFont="1" applyFill="1" applyBorder="1" applyAlignment="1">
      <alignment horizontal="center" vertical="top" wrapText="1"/>
    </xf>
    <xf numFmtId="0" fontId="2" fillId="0" borderId="2" xfId="1" applyFont="1" applyFill="1" applyBorder="1" applyAlignment="1">
      <alignment horizontal="center" vertical="top" wrapText="1"/>
    </xf>
    <xf numFmtId="0" fontId="5" fillId="0" borderId="8" xfId="0" applyFont="1" applyBorder="1" applyAlignment="1">
      <alignment vertical="top" wrapText="1"/>
    </xf>
    <xf numFmtId="0" fontId="2" fillId="8" borderId="8" xfId="1" applyFont="1" applyFill="1" applyBorder="1" applyAlignment="1">
      <alignment horizontal="center" vertical="top" wrapText="1"/>
    </xf>
    <xf numFmtId="0" fontId="0" fillId="0" borderId="10" xfId="0" applyBorder="1"/>
    <xf numFmtId="0" fontId="2" fillId="8" borderId="10" xfId="1" applyFont="1" applyFill="1" applyBorder="1" applyAlignment="1">
      <alignment horizontal="center" vertical="top" wrapText="1"/>
    </xf>
    <xf numFmtId="0" fontId="4" fillId="0" borderId="10" xfId="0" applyFont="1" applyBorder="1"/>
    <xf numFmtId="0" fontId="5" fillId="9" borderId="0" xfId="0" applyFont="1" applyFill="1" applyAlignment="1">
      <alignment vertical="top" wrapText="1"/>
    </xf>
    <xf numFmtId="165" fontId="4" fillId="0" borderId="0" xfId="0" applyNumberFormat="1" applyFont="1"/>
    <xf numFmtId="166" fontId="3" fillId="0" borderId="0" xfId="0" applyNumberFormat="1" applyFont="1"/>
    <xf numFmtId="0" fontId="3" fillId="0" borderId="8" xfId="0" applyFont="1" applyBorder="1"/>
    <xf numFmtId="164" fontId="5" fillId="0" borderId="9" xfId="0" applyNumberFormat="1" applyFont="1" applyFill="1" applyBorder="1" applyAlignment="1" applyProtection="1">
      <alignment horizontal="center" vertical="top" wrapText="1"/>
      <protection locked="0"/>
    </xf>
    <xf numFmtId="164" fontId="5" fillId="0" borderId="2" xfId="0" applyNumberFormat="1" applyFont="1" applyFill="1" applyBorder="1" applyAlignment="1" applyProtection="1">
      <alignment horizontal="center" vertical="top" wrapText="1"/>
      <protection locked="0"/>
    </xf>
    <xf numFmtId="0" fontId="3" fillId="5" borderId="0" xfId="0" applyFont="1" applyFill="1" applyAlignment="1">
      <alignment horizontal="center" vertical="center"/>
    </xf>
    <xf numFmtId="2" fontId="3" fillId="5" borderId="0" xfId="0" applyNumberFormat="1" applyFont="1" applyFill="1" applyAlignment="1">
      <alignment horizontal="center" vertical="center"/>
    </xf>
    <xf numFmtId="1" fontId="3" fillId="5" borderId="0" xfId="0" applyNumberFormat="1" applyFont="1" applyFill="1" applyAlignment="1">
      <alignment horizontal="center" vertical="center"/>
    </xf>
    <xf numFmtId="0" fontId="2" fillId="4" borderId="12" xfId="1" applyFont="1" applyFill="1" applyBorder="1" applyAlignment="1">
      <alignment horizontal="center" vertical="top" wrapText="1"/>
    </xf>
    <xf numFmtId="2" fontId="2" fillId="4" borderId="13" xfId="1" applyNumberFormat="1" applyFont="1" applyFill="1" applyBorder="1" applyAlignment="1">
      <alignment horizontal="center" vertical="top" wrapText="1"/>
    </xf>
    <xf numFmtId="0" fontId="2" fillId="0" borderId="13" xfId="1" applyFont="1" applyFill="1" applyBorder="1" applyAlignment="1">
      <alignment horizontal="center" vertical="top" wrapText="1"/>
    </xf>
    <xf numFmtId="0" fontId="2" fillId="3" borderId="13" xfId="1" applyFont="1" applyFill="1" applyBorder="1" applyAlignment="1">
      <alignment horizontal="center" vertical="top" wrapText="1"/>
    </xf>
    <xf numFmtId="1" fontId="2" fillId="3" borderId="13" xfId="1" applyNumberFormat="1" applyFont="1" applyFill="1" applyBorder="1" applyAlignment="1">
      <alignment horizontal="center" vertical="top" wrapText="1"/>
    </xf>
    <xf numFmtId="0" fontId="2" fillId="4" borderId="13" xfId="1" applyFont="1" applyFill="1" applyBorder="1" applyAlignment="1">
      <alignment horizontal="center" vertical="top" wrapText="1"/>
    </xf>
    <xf numFmtId="0" fontId="5" fillId="4" borderId="13" xfId="0" applyFont="1" applyFill="1" applyBorder="1" applyAlignment="1">
      <alignment horizontal="center" vertical="top" wrapText="1"/>
    </xf>
    <xf numFmtId="2" fontId="5" fillId="4" borderId="13" xfId="0" applyNumberFormat="1" applyFont="1" applyFill="1" applyBorder="1" applyAlignment="1">
      <alignment horizontal="center" vertical="top" wrapText="1"/>
    </xf>
    <xf numFmtId="164" fontId="5" fillId="0" borderId="13" xfId="0" applyNumberFormat="1" applyFont="1" applyFill="1" applyBorder="1" applyAlignment="1" applyProtection="1">
      <alignment horizontal="center" vertical="top" wrapText="1"/>
      <protection locked="0"/>
    </xf>
    <xf numFmtId="1" fontId="5" fillId="0" borderId="13" xfId="0" applyNumberFormat="1" applyFont="1" applyFill="1" applyBorder="1" applyAlignment="1" applyProtection="1">
      <alignment horizontal="center" vertical="top" wrapText="1"/>
      <protection locked="0"/>
    </xf>
    <xf numFmtId="1" fontId="2" fillId="0" borderId="13" xfId="1" applyNumberFormat="1" applyFont="1" applyFill="1" applyBorder="1" applyAlignment="1">
      <alignment horizontal="center" vertical="top" wrapText="1"/>
    </xf>
    <xf numFmtId="0" fontId="5" fillId="0" borderId="13" xfId="0" applyFont="1" applyFill="1" applyBorder="1" applyAlignment="1">
      <alignment horizontal="center" vertical="top" wrapText="1"/>
    </xf>
    <xf numFmtId="0" fontId="3" fillId="5" borderId="0" xfId="0" applyFont="1" applyFill="1" applyAlignment="1">
      <alignment horizontal="right"/>
    </xf>
    <xf numFmtId="0" fontId="9" fillId="8" borderId="0" xfId="0" applyFont="1" applyFill="1" applyAlignment="1">
      <alignment horizontal="center" vertical="center"/>
    </xf>
    <xf numFmtId="0" fontId="11" fillId="5" borderId="0" xfId="0" applyFont="1" applyFill="1"/>
    <xf numFmtId="0" fontId="12" fillId="0" borderId="11" xfId="0" applyFont="1" applyBorder="1" applyAlignment="1">
      <alignment horizontal="center" vertical="center"/>
    </xf>
    <xf numFmtId="2" fontId="12" fillId="0" borderId="11" xfId="0" applyNumberFormat="1" applyFont="1" applyBorder="1" applyAlignment="1">
      <alignment horizontal="center" vertical="center"/>
    </xf>
    <xf numFmtId="1" fontId="12" fillId="0" borderId="11" xfId="0" applyNumberFormat="1" applyFont="1" applyBorder="1" applyAlignment="1">
      <alignment horizontal="center" vertical="center"/>
    </xf>
    <xf numFmtId="1" fontId="12" fillId="0" borderId="11" xfId="0" applyNumberFormat="1" applyFont="1" applyFill="1" applyBorder="1" applyAlignment="1">
      <alignment horizontal="center" vertical="center"/>
    </xf>
    <xf numFmtId="0" fontId="12" fillId="0" borderId="11" xfId="0" applyFont="1" applyFill="1" applyBorder="1" applyAlignment="1">
      <alignment horizontal="center" vertical="center"/>
    </xf>
    <xf numFmtId="0" fontId="12" fillId="0" borderId="0" xfId="0" applyFont="1"/>
    <xf numFmtId="0" fontId="12" fillId="8" borderId="0" xfId="0" applyFont="1" applyFill="1" applyAlignment="1">
      <alignment horizontal="center" vertical="center"/>
    </xf>
    <xf numFmtId="2" fontId="12" fillId="8" borderId="0" xfId="0" applyNumberFormat="1" applyFont="1" applyFill="1" applyAlignment="1">
      <alignment horizontal="center" vertical="center"/>
    </xf>
    <xf numFmtId="1" fontId="12" fillId="8" borderId="0" xfId="0" applyNumberFormat="1" applyFont="1" applyFill="1" applyAlignment="1">
      <alignment horizontal="center" vertical="center"/>
    </xf>
    <xf numFmtId="2" fontId="12" fillId="8" borderId="0" xfId="0" quotePrefix="1" applyNumberFormat="1" applyFont="1" applyFill="1" applyAlignment="1">
      <alignment horizontal="center" vertical="center"/>
    </xf>
    <xf numFmtId="0" fontId="12" fillId="5" borderId="0" xfId="0" applyFont="1" applyFill="1" applyAlignment="1">
      <alignment horizontal="center" vertical="center"/>
    </xf>
    <xf numFmtId="2" fontId="12" fillId="5" borderId="0" xfId="0" applyNumberFormat="1" applyFont="1" applyFill="1" applyAlignment="1">
      <alignment horizontal="center" vertical="center"/>
    </xf>
    <xf numFmtId="1" fontId="12" fillId="5" borderId="0" xfId="0" applyNumberFormat="1" applyFont="1" applyFill="1" applyAlignment="1">
      <alignment horizontal="center" vertical="center"/>
    </xf>
    <xf numFmtId="0" fontId="13" fillId="5" borderId="0" xfId="0" applyFont="1" applyFill="1" applyAlignment="1">
      <alignment horizontal="right"/>
    </xf>
    <xf numFmtId="2" fontId="3" fillId="5" borderId="6" xfId="0" applyNumberFormat="1" applyFont="1" applyFill="1" applyBorder="1" applyAlignment="1">
      <alignment horizontal="center" vertical="center"/>
    </xf>
    <xf numFmtId="0" fontId="3" fillId="5" borderId="6" xfId="0" applyFont="1" applyFill="1" applyBorder="1" applyAlignment="1">
      <alignment horizontal="center" vertical="center"/>
    </xf>
    <xf numFmtId="1" fontId="3" fillId="5" borderId="6" xfId="0" applyNumberFormat="1" applyFont="1" applyFill="1" applyBorder="1" applyAlignment="1">
      <alignment horizontal="center" vertical="center"/>
    </xf>
    <xf numFmtId="0" fontId="8" fillId="11" borderId="0" xfId="0" applyFont="1" applyFill="1" applyBorder="1" applyAlignment="1"/>
    <xf numFmtId="0" fontId="14" fillId="11" borderId="0" xfId="0" applyFont="1" applyFill="1" applyBorder="1" applyAlignment="1">
      <alignment horizontal="right"/>
    </xf>
    <xf numFmtId="0" fontId="6" fillId="11" borderId="0" xfId="1" applyFont="1" applyFill="1" applyBorder="1" applyAlignment="1">
      <alignment horizontal="center" vertical="top" wrapText="1"/>
    </xf>
    <xf numFmtId="0" fontId="14" fillId="11" borderId="0" xfId="1" applyFont="1" applyFill="1" applyBorder="1" applyAlignment="1">
      <alignment horizontal="right" vertical="top" wrapText="1"/>
    </xf>
    <xf numFmtId="0" fontId="11" fillId="11" borderId="0" xfId="0" applyFont="1" applyFill="1"/>
    <xf numFmtId="0" fontId="13" fillId="11" borderId="0" xfId="0" applyFont="1" applyFill="1" applyAlignment="1">
      <alignment horizontal="right"/>
    </xf>
    <xf numFmtId="0" fontId="8" fillId="11" borderId="0" xfId="0" applyFont="1" applyFill="1"/>
    <xf numFmtId="0" fontId="3" fillId="11" borderId="0" xfId="0" applyFont="1" applyFill="1" applyAlignment="1">
      <alignment horizontal="right"/>
    </xf>
    <xf numFmtId="0" fontId="11" fillId="5" borderId="0" xfId="0" applyFont="1" applyFill="1" applyAlignment="1">
      <alignment horizontal="center" vertical="center"/>
    </xf>
    <xf numFmtId="0" fontId="10" fillId="5" borderId="0" xfId="0" applyFont="1" applyFill="1" applyAlignment="1">
      <alignment horizontal="center" vertical="center"/>
    </xf>
    <xf numFmtId="164" fontId="9" fillId="8" borderId="0" xfId="0" applyNumberFormat="1" applyFont="1" applyFill="1" applyAlignment="1">
      <alignment horizontal="center" vertical="center"/>
    </xf>
    <xf numFmtId="164" fontId="10" fillId="5" borderId="0" xfId="0" applyNumberFormat="1" applyFont="1" applyFill="1" applyAlignment="1">
      <alignment horizontal="center" vertical="center"/>
    </xf>
    <xf numFmtId="0" fontId="2" fillId="4" borderId="11" xfId="1" applyFont="1" applyFill="1" applyBorder="1" applyAlignment="1">
      <alignment horizontal="center" vertical="top" wrapText="1"/>
    </xf>
    <xf numFmtId="2" fontId="2" fillId="4" borderId="11" xfId="1" applyNumberFormat="1" applyFont="1" applyFill="1" applyBorder="1" applyAlignment="1">
      <alignment horizontal="center" vertical="top" wrapText="1"/>
    </xf>
    <xf numFmtId="0" fontId="2" fillId="3" borderId="11" xfId="1" applyFont="1" applyFill="1" applyBorder="1" applyAlignment="1">
      <alignment horizontal="center" vertical="top" wrapText="1"/>
    </xf>
    <xf numFmtId="1" fontId="2" fillId="3" borderId="11" xfId="1" applyNumberFormat="1" applyFont="1" applyFill="1" applyBorder="1" applyAlignment="1">
      <alignment horizontal="center" vertical="top" wrapText="1"/>
    </xf>
    <xf numFmtId="0" fontId="5" fillId="4" borderId="11" xfId="0" applyFont="1" applyFill="1" applyBorder="1" applyAlignment="1">
      <alignment horizontal="center" vertical="top" wrapText="1"/>
    </xf>
    <xf numFmtId="2" fontId="5" fillId="4" borderId="11" xfId="0" applyNumberFormat="1" applyFont="1" applyFill="1" applyBorder="1" applyAlignment="1">
      <alignment horizontal="center" vertical="top" wrapText="1"/>
    </xf>
    <xf numFmtId="0" fontId="12" fillId="8" borderId="14" xfId="0" applyFont="1" applyFill="1" applyBorder="1" applyAlignment="1">
      <alignment horizontal="center" vertical="center"/>
    </xf>
    <xf numFmtId="0" fontId="15" fillId="5" borderId="0" xfId="0" applyFont="1" applyFill="1"/>
    <xf numFmtId="0" fontId="13" fillId="5" borderId="0" xfId="0" applyFont="1" applyFill="1"/>
    <xf numFmtId="0" fontId="17" fillId="8" borderId="0" xfId="0" applyFont="1" applyFill="1" applyAlignment="1">
      <alignment horizontal="center" vertical="center"/>
    </xf>
    <xf numFmtId="0" fontId="18" fillId="5" borderId="0" xfId="0" applyFont="1" applyFill="1" applyAlignment="1">
      <alignment horizontal="center" vertical="center"/>
    </xf>
    <xf numFmtId="0" fontId="17" fillId="8" borderId="0" xfId="0" applyFont="1" applyFill="1" applyBorder="1" applyAlignment="1">
      <alignment horizontal="center" vertical="center"/>
    </xf>
    <xf numFmtId="0" fontId="2" fillId="12" borderId="11" xfId="1" applyFont="1" applyFill="1" applyBorder="1" applyAlignment="1">
      <alignment horizontal="center" vertical="top" wrapText="1"/>
    </xf>
    <xf numFmtId="164" fontId="5" fillId="12" borderId="11" xfId="0" applyNumberFormat="1" applyFont="1" applyFill="1" applyBorder="1" applyAlignment="1" applyProtection="1">
      <alignment horizontal="center" vertical="top" wrapText="1"/>
      <protection locked="0"/>
    </xf>
    <xf numFmtId="1" fontId="5" fillId="12" borderId="11" xfId="0" applyNumberFormat="1" applyFont="1" applyFill="1" applyBorder="1" applyAlignment="1" applyProtection="1">
      <alignment horizontal="center" vertical="top" wrapText="1"/>
      <protection locked="0"/>
    </xf>
    <xf numFmtId="1" fontId="2" fillId="12" borderId="11" xfId="1" applyNumberFormat="1" applyFont="1" applyFill="1" applyBorder="1" applyAlignment="1">
      <alignment horizontal="center" vertical="top" wrapText="1"/>
    </xf>
    <xf numFmtId="0" fontId="5" fillId="12" borderId="11" xfId="0" applyFont="1" applyFill="1" applyBorder="1" applyAlignment="1">
      <alignment horizontal="center" vertical="top" wrapText="1"/>
    </xf>
    <xf numFmtId="0" fontId="5" fillId="12" borderId="1" xfId="0" applyFont="1" applyFill="1" applyBorder="1" applyAlignment="1">
      <alignment horizontal="center" vertical="top" wrapText="1"/>
    </xf>
    <xf numFmtId="1" fontId="2" fillId="12" borderId="1" xfId="1" applyNumberFormat="1" applyFont="1" applyFill="1" applyBorder="1" applyAlignment="1">
      <alignment horizontal="center" vertical="top" wrapText="1"/>
    </xf>
    <xf numFmtId="164" fontId="5" fillId="12" borderId="1" xfId="0" applyNumberFormat="1" applyFont="1" applyFill="1" applyBorder="1" applyAlignment="1" applyProtection="1">
      <alignment horizontal="center" vertical="top" wrapText="1"/>
      <protection locked="0"/>
    </xf>
    <xf numFmtId="1" fontId="5" fillId="12" borderId="1" xfId="0" applyNumberFormat="1" applyFont="1" applyFill="1" applyBorder="1" applyAlignment="1" applyProtection="1">
      <alignment horizontal="center" vertical="top" wrapText="1"/>
      <protection locked="0"/>
    </xf>
    <xf numFmtId="0" fontId="2" fillId="12" borderId="1" xfId="1" applyFont="1" applyFill="1" applyBorder="1" applyAlignment="1">
      <alignment horizontal="center" vertical="top" wrapText="1"/>
    </xf>
    <xf numFmtId="0" fontId="19" fillId="5" borderId="0" xfId="0" applyFont="1" applyFill="1" applyBorder="1" applyAlignment="1">
      <alignment horizontal="right"/>
    </xf>
    <xf numFmtId="0" fontId="19" fillId="5" borderId="0" xfId="1" applyFont="1" applyFill="1" applyBorder="1" applyAlignment="1">
      <alignment horizontal="right" vertical="top" wrapText="1"/>
    </xf>
    <xf numFmtId="2" fontId="22" fillId="8" borderId="15" xfId="0" quotePrefix="1" applyNumberFormat="1" applyFont="1" applyFill="1" applyBorder="1" applyAlignment="1">
      <alignment horizontal="right" vertical="center"/>
    </xf>
    <xf numFmtId="0" fontId="11" fillId="5" borderId="16" xfId="0" applyFont="1" applyFill="1" applyBorder="1"/>
    <xf numFmtId="0" fontId="11" fillId="5" borderId="17" xfId="0" quotePrefix="1" applyFont="1" applyFill="1" applyBorder="1"/>
    <xf numFmtId="0" fontId="16" fillId="10" borderId="18" xfId="0" applyFont="1" applyFill="1" applyBorder="1" applyAlignment="1">
      <alignment horizontal="center"/>
    </xf>
    <xf numFmtId="0" fontId="20" fillId="10" borderId="0" xfId="0" applyFont="1" applyFill="1"/>
    <xf numFmtId="0" fontId="0" fillId="10" borderId="0" xfId="0" applyFill="1"/>
    <xf numFmtId="0" fontId="23" fillId="10" borderId="0" xfId="0" applyFont="1" applyFill="1"/>
    <xf numFmtId="0" fontId="0" fillId="10" borderId="0" xfId="0" quotePrefix="1" applyFill="1"/>
    <xf numFmtId="0" fontId="0" fillId="10" borderId="0" xfId="0" applyFill="1" applyAlignment="1">
      <alignment wrapText="1"/>
    </xf>
    <xf numFmtId="0" fontId="21" fillId="10" borderId="0" xfId="0" applyFont="1" applyFill="1" applyAlignment="1">
      <alignment wrapText="1"/>
    </xf>
    <xf numFmtId="0" fontId="0" fillId="10" borderId="0" xfId="0" applyFill="1" applyAlignment="1">
      <alignment vertical="top" wrapText="1"/>
    </xf>
    <xf numFmtId="0" fontId="6" fillId="5" borderId="11" xfId="0" applyFont="1" applyFill="1" applyBorder="1" applyAlignment="1">
      <alignment horizontal="center"/>
    </xf>
    <xf numFmtId="0" fontId="6" fillId="5" borderId="5" xfId="0" applyFont="1" applyFill="1" applyBorder="1" applyAlignment="1">
      <alignment horizontal="center"/>
    </xf>
    <xf numFmtId="0" fontId="6" fillId="5" borderId="6" xfId="0" applyFont="1" applyFill="1" applyBorder="1" applyAlignment="1">
      <alignment horizontal="center"/>
    </xf>
    <xf numFmtId="0" fontId="5" fillId="12" borderId="11" xfId="0" applyFont="1" applyFill="1" applyBorder="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5" fillId="12" borderId="5" xfId="0" applyFont="1" applyFill="1" applyBorder="1" applyAlignment="1">
      <alignment horizontal="center"/>
    </xf>
    <xf numFmtId="0" fontId="5" fillId="12" borderId="6" xfId="0" applyFont="1" applyFill="1" applyBorder="1" applyAlignment="1">
      <alignment horizontal="center"/>
    </xf>
    <xf numFmtId="0" fontId="5" fillId="12" borderId="7" xfId="0" applyFont="1" applyFill="1" applyBorder="1" applyAlignment="1">
      <alignment horizontal="center"/>
    </xf>
    <xf numFmtId="0" fontId="6" fillId="5" borderId="7" xfId="0" applyFont="1" applyFill="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6" fillId="11" borderId="2" xfId="0" applyFont="1" applyFill="1" applyBorder="1" applyAlignment="1">
      <alignment horizontal="center"/>
    </xf>
    <xf numFmtId="0" fontId="6" fillId="11" borderId="3" xfId="0" applyFont="1" applyFill="1" applyBorder="1" applyAlignment="1">
      <alignment horizontal="center"/>
    </xf>
    <xf numFmtId="0" fontId="6" fillId="11" borderId="4" xfId="0" applyFont="1" applyFill="1" applyBorder="1" applyAlignment="1">
      <alignment horizontal="center"/>
    </xf>
  </cellXfs>
  <cellStyles count="2">
    <cellStyle name="Normal" xfId="0" builtinId="0"/>
    <cellStyle name="Normal 2" xfId="1"/>
  </cellStyles>
  <dxfs count="11">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s>
  <tableStyles count="0" defaultTableStyle="TableStyleMedium2" defaultPivotStyle="PivotStyleLight16"/>
  <colors>
    <mruColors>
      <color rgb="FFF8696B"/>
      <color rgb="FF63BE7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14</xdr:row>
      <xdr:rowOff>25400</xdr:rowOff>
    </xdr:from>
    <xdr:to>
      <xdr:col>2</xdr:col>
      <xdr:colOff>323850</xdr:colOff>
      <xdr:row>30</xdr:row>
      <xdr:rowOff>19050</xdr:rowOff>
    </xdr:to>
    <xdr:grpSp>
      <xdr:nvGrpSpPr>
        <xdr:cNvPr id="7" name="Group 6"/>
        <xdr:cNvGrpSpPr/>
      </xdr:nvGrpSpPr>
      <xdr:grpSpPr>
        <a:xfrm>
          <a:off x="0" y="5257800"/>
          <a:ext cx="6959600" cy="2940050"/>
          <a:chOff x="120650" y="4419600"/>
          <a:chExt cx="6000750" cy="2940050"/>
        </a:xfrm>
      </xdr:grpSpPr>
      <xdr:pic>
        <xdr:nvPicPr>
          <xdr:cNvPr id="2" name="Picture 1"/>
          <xdr:cNvPicPr>
            <a:picLocks noChangeAspect="1"/>
          </xdr:cNvPicPr>
        </xdr:nvPicPr>
        <xdr:blipFill>
          <a:blip xmlns:r="http://schemas.openxmlformats.org/officeDocument/2006/relationships" r:embed="rId1"/>
          <a:stretch>
            <a:fillRect/>
          </a:stretch>
        </xdr:blipFill>
        <xdr:spPr>
          <a:xfrm>
            <a:off x="171450" y="5295901"/>
            <a:ext cx="5075927" cy="2063749"/>
          </a:xfrm>
          <a:prstGeom prst="rect">
            <a:avLst/>
          </a:prstGeom>
          <a:ln>
            <a:noFill/>
          </a:ln>
          <a:effectLst>
            <a:outerShdw blurRad="292100" dist="139700" dir="2700000" algn="tl" rotWithShape="0">
              <a:srgbClr val="333333">
                <a:alpha val="65000"/>
              </a:srgbClr>
            </a:outerShdw>
          </a:effectLst>
        </xdr:spPr>
      </xdr:pic>
      <xdr:sp macro="" textlink="">
        <xdr:nvSpPr>
          <xdr:cNvPr id="3" name="Rectangle 2"/>
          <xdr:cNvSpPr/>
        </xdr:nvSpPr>
        <xdr:spPr>
          <a:xfrm>
            <a:off x="120650" y="5816600"/>
            <a:ext cx="965200" cy="285750"/>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 name="Rectangle 3"/>
          <xdr:cNvSpPr/>
        </xdr:nvSpPr>
        <xdr:spPr>
          <a:xfrm>
            <a:off x="2825750" y="5797550"/>
            <a:ext cx="1619250" cy="171450"/>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 name="Oval Callout 4"/>
          <xdr:cNvSpPr/>
        </xdr:nvSpPr>
        <xdr:spPr>
          <a:xfrm>
            <a:off x="3854450" y="4419600"/>
            <a:ext cx="2266950" cy="1193800"/>
          </a:xfrm>
          <a:prstGeom prst="wedgeEllipseCallout">
            <a:avLst/>
          </a:prstGeom>
          <a:solidFill>
            <a:sysClr val="window" lastClr="FFFFFF"/>
          </a:solidFill>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ysClr val="windowText" lastClr="000000"/>
                </a:solidFill>
              </a:rPr>
              <a:t>Second, enter new</a:t>
            </a:r>
            <a:r>
              <a:rPr lang="en-US" sz="1100" baseline="0">
                <a:solidFill>
                  <a:sysClr val="windowText" lastClr="000000"/>
                </a:solidFill>
              </a:rPr>
              <a:t> values in the white boxes to simulate EBA Topic Scores and Ranks.</a:t>
            </a:r>
            <a:endParaRPr lang="en-US" sz="1100">
              <a:solidFill>
                <a:sysClr val="windowText" lastClr="000000"/>
              </a:solidFill>
            </a:endParaRPr>
          </a:p>
        </xdr:txBody>
      </xdr:sp>
      <xdr:sp macro="" textlink="">
        <xdr:nvSpPr>
          <xdr:cNvPr id="6" name="Oval Callout 5"/>
          <xdr:cNvSpPr/>
        </xdr:nvSpPr>
        <xdr:spPr>
          <a:xfrm>
            <a:off x="501650" y="4514850"/>
            <a:ext cx="2051050" cy="1193800"/>
          </a:xfrm>
          <a:prstGeom prst="wedgeEllipseCallout">
            <a:avLst/>
          </a:prstGeom>
          <a:solidFill>
            <a:sysClr val="window" lastClr="FFFFFF"/>
          </a:solidFill>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ysClr val="windowText" lastClr="000000"/>
                </a:solidFill>
              </a:rPr>
              <a:t>First,</a:t>
            </a:r>
            <a:r>
              <a:rPr lang="en-US" sz="1100" baseline="0">
                <a:solidFill>
                  <a:sysClr val="windowText" lastClr="000000"/>
                </a:solidFill>
              </a:rPr>
              <a:t> c</a:t>
            </a:r>
            <a:r>
              <a:rPr lang="en-US" sz="1100">
                <a:solidFill>
                  <a:sysClr val="windowText" lastClr="000000"/>
                </a:solidFill>
              </a:rPr>
              <a:t>hoose a</a:t>
            </a:r>
            <a:r>
              <a:rPr lang="en-US" sz="1100" baseline="0">
                <a:solidFill>
                  <a:sysClr val="windowText" lastClr="000000"/>
                </a:solidFill>
              </a:rPr>
              <a:t> country from the drop down selection box.</a:t>
            </a:r>
            <a:endParaRPr lang="en-US" sz="1100">
              <a:solidFill>
                <a:sysClr val="windowText" lastClr="000000"/>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196850</xdr:colOff>
      <xdr:row>1</xdr:row>
      <xdr:rowOff>946150</xdr:rowOff>
    </xdr:to>
    <xdr:sp macro="" textlink="">
      <xdr:nvSpPr>
        <xdr:cNvPr id="2" name="TextBox 1"/>
        <xdr:cNvSpPr txBox="1"/>
      </xdr:nvSpPr>
      <xdr:spPr>
        <a:xfrm>
          <a:off x="0" y="0"/>
          <a:ext cx="3949700" cy="1136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latin typeface="Arial" panose="020B0604020202020204" pitchFamily="34" charset="0"/>
              <a:cs typeface="Arial" panose="020B0604020202020204" pitchFamily="34" charset="0"/>
            </a:rPr>
            <a:t>Enabling</a:t>
          </a:r>
          <a:r>
            <a:rPr lang="en-US" sz="1100" baseline="0">
              <a:solidFill>
                <a:schemeClr val="bg1"/>
              </a:solidFill>
              <a:latin typeface="Arial" panose="020B0604020202020204" pitchFamily="34" charset="0"/>
              <a:cs typeface="Arial" panose="020B0604020202020204" pitchFamily="34" charset="0"/>
            </a:rPr>
            <a:t> the Business of Agriculture 2017</a:t>
          </a:r>
        </a:p>
        <a:p>
          <a:r>
            <a:rPr lang="en-US" sz="2800" baseline="0">
              <a:solidFill>
                <a:schemeClr val="bg1"/>
              </a:solidFill>
              <a:latin typeface="Arial" panose="020B0604020202020204" pitchFamily="34" charset="0"/>
              <a:cs typeface="Arial" panose="020B0604020202020204" pitchFamily="34" charset="0"/>
            </a:rPr>
            <a:t>Distance to Frontier Calculator</a:t>
          </a:r>
          <a:endParaRPr lang="en-US" sz="28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36"/>
  <sheetViews>
    <sheetView tabSelected="1" workbookViewId="0"/>
  </sheetViews>
  <sheetFormatPr defaultRowHeight="14.5" x14ac:dyDescent="0.35"/>
  <cols>
    <col min="1" max="1" width="86.26953125" style="123" customWidth="1"/>
    <col min="2" max="16384" width="8.7265625" style="123"/>
  </cols>
  <sheetData>
    <row r="1" spans="1:1" ht="15.5" x14ac:dyDescent="0.35">
      <c r="A1" s="122" t="s">
        <v>213</v>
      </c>
    </row>
    <row r="2" spans="1:1" ht="26" x14ac:dyDescent="0.6">
      <c r="A2" s="124" t="s">
        <v>291</v>
      </c>
    </row>
    <row r="3" spans="1:1" x14ac:dyDescent="0.35">
      <c r="A3" s="125" t="s">
        <v>292</v>
      </c>
    </row>
    <row r="5" spans="1:1" ht="18.5" x14ac:dyDescent="0.45">
      <c r="A5" s="127" t="s">
        <v>286</v>
      </c>
    </row>
    <row r="6" spans="1:1" ht="58" x14ac:dyDescent="0.35">
      <c r="A6" s="126" t="s">
        <v>214</v>
      </c>
    </row>
    <row r="7" spans="1:1" x14ac:dyDescent="0.35">
      <c r="A7" s="126"/>
    </row>
    <row r="8" spans="1:1" x14ac:dyDescent="0.35">
      <c r="A8" s="126" t="s">
        <v>215</v>
      </c>
    </row>
    <row r="9" spans="1:1" x14ac:dyDescent="0.35">
      <c r="A9" s="126"/>
    </row>
    <row r="10" spans="1:1" ht="18.5" x14ac:dyDescent="0.45">
      <c r="A10" s="127" t="s">
        <v>287</v>
      </c>
    </row>
    <row r="11" spans="1:1" ht="58" x14ac:dyDescent="0.35">
      <c r="A11" s="126" t="s">
        <v>293</v>
      </c>
    </row>
    <row r="12" spans="1:1" x14ac:dyDescent="0.35">
      <c r="A12" s="126"/>
    </row>
    <row r="13" spans="1:1" ht="116" x14ac:dyDescent="0.35">
      <c r="A13" s="128" t="s">
        <v>290</v>
      </c>
    </row>
    <row r="14" spans="1:1" x14ac:dyDescent="0.35">
      <c r="A14" s="126"/>
    </row>
    <row r="15" spans="1:1" x14ac:dyDescent="0.35">
      <c r="A15" s="126"/>
    </row>
    <row r="16" spans="1:1" x14ac:dyDescent="0.35">
      <c r="A16" s="126"/>
    </row>
    <row r="17" spans="1:1" x14ac:dyDescent="0.35">
      <c r="A17" s="126"/>
    </row>
    <row r="18" spans="1:1" x14ac:dyDescent="0.35">
      <c r="A18" s="126"/>
    </row>
    <row r="19" spans="1:1" x14ac:dyDescent="0.35">
      <c r="A19" s="126"/>
    </row>
    <row r="20" spans="1:1" x14ac:dyDescent="0.35">
      <c r="A20" s="126"/>
    </row>
    <row r="21" spans="1:1" x14ac:dyDescent="0.35">
      <c r="A21" s="126"/>
    </row>
    <row r="22" spans="1:1" x14ac:dyDescent="0.35">
      <c r="A22" s="126"/>
    </row>
    <row r="23" spans="1:1" x14ac:dyDescent="0.35">
      <c r="A23" s="126"/>
    </row>
    <row r="24" spans="1:1" x14ac:dyDescent="0.35">
      <c r="A24" s="126"/>
    </row>
    <row r="25" spans="1:1" x14ac:dyDescent="0.35">
      <c r="A25" s="126"/>
    </row>
    <row r="33" spans="1:1" ht="58" x14ac:dyDescent="0.35">
      <c r="A33" s="126" t="s">
        <v>294</v>
      </c>
    </row>
    <row r="35" spans="1:1" ht="18.5" x14ac:dyDescent="0.45">
      <c r="A35" s="127" t="s">
        <v>288</v>
      </c>
    </row>
    <row r="36" spans="1:1" ht="101.5" x14ac:dyDescent="0.35">
      <c r="A36" s="126" t="s">
        <v>289</v>
      </c>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6"/>
  <sheetViews>
    <sheetView workbookViewId="0">
      <pane xSplit="1" ySplit="4" topLeftCell="D5" activePane="bottomRight" state="frozen"/>
      <selection pane="topRight" activeCell="B1" sqref="B1"/>
      <selection pane="bottomLeft" activeCell="A5" sqref="A5"/>
      <selection pane="bottomRight" activeCell="R5" sqref="R5:T66"/>
    </sheetView>
  </sheetViews>
  <sheetFormatPr defaultRowHeight="14.5" x14ac:dyDescent="0.35"/>
  <cols>
    <col min="1" max="1" width="29.453125" customWidth="1"/>
    <col min="5" max="5" width="15.7265625" bestFit="1" customWidth="1"/>
    <col min="6" max="7" width="15.7265625" customWidth="1"/>
    <col min="8" max="8" width="10.7265625" style="33" customWidth="1"/>
    <col min="9" max="9" width="10.1796875" customWidth="1"/>
    <col min="10" max="11" width="10.7265625" customWidth="1"/>
    <col min="13" max="13" width="8.7265625" style="33"/>
    <col min="18" max="18" width="8.7265625" style="33"/>
    <col min="21" max="21" width="8.7265625" style="33"/>
    <col min="24" max="24" width="8.7265625" style="38"/>
    <col min="25" max="25" width="8.7265625" style="33"/>
  </cols>
  <sheetData>
    <row r="1" spans="1:24" x14ac:dyDescent="0.35">
      <c r="A1" s="1">
        <f>COLUMN()</f>
        <v>1</v>
      </c>
      <c r="B1" s="1">
        <f>COLUMN()</f>
        <v>2</v>
      </c>
      <c r="C1" s="1">
        <f>COLUMN()</f>
        <v>3</v>
      </c>
      <c r="D1" s="1">
        <f>COLUMN()</f>
        <v>4</v>
      </c>
      <c r="E1" s="1">
        <f>COLUMN()</f>
        <v>5</v>
      </c>
      <c r="F1" s="1">
        <f>COLUMN()</f>
        <v>6</v>
      </c>
      <c r="G1" s="1">
        <f>COLUMN()</f>
        <v>7</v>
      </c>
      <c r="H1" s="32">
        <f>COLUMN()</f>
        <v>8</v>
      </c>
      <c r="I1" s="1">
        <f>COLUMN()</f>
        <v>9</v>
      </c>
      <c r="J1" s="1">
        <f>COLUMN()</f>
        <v>10</v>
      </c>
      <c r="K1" s="1">
        <f>COLUMN()</f>
        <v>11</v>
      </c>
      <c r="L1" s="1">
        <f>COLUMN()</f>
        <v>12</v>
      </c>
      <c r="M1" s="32">
        <f>COLUMN()</f>
        <v>13</v>
      </c>
      <c r="N1" s="1">
        <f>COLUMN()</f>
        <v>14</v>
      </c>
      <c r="O1" s="1">
        <f>COLUMN()</f>
        <v>15</v>
      </c>
      <c r="P1" s="1">
        <f>COLUMN()</f>
        <v>16</v>
      </c>
      <c r="Q1" s="1">
        <f>COLUMN()</f>
        <v>17</v>
      </c>
      <c r="R1" s="32">
        <f>COLUMN()</f>
        <v>18</v>
      </c>
      <c r="S1" s="1">
        <f>COLUMN()</f>
        <v>19</v>
      </c>
      <c r="T1" s="1">
        <f>COLUMN()</f>
        <v>20</v>
      </c>
      <c r="U1" s="32">
        <f>COLUMN()</f>
        <v>21</v>
      </c>
      <c r="V1" s="1">
        <f>COLUMN()</f>
        <v>22</v>
      </c>
      <c r="W1" s="1">
        <f>COLUMN()</f>
        <v>23</v>
      </c>
      <c r="X1" s="40">
        <f>COLUMN()</f>
        <v>24</v>
      </c>
    </row>
    <row r="2" spans="1:24" x14ac:dyDescent="0.35">
      <c r="A2" s="1" t="s">
        <v>235</v>
      </c>
      <c r="B2" s="1"/>
      <c r="C2" s="1"/>
      <c r="D2" s="1"/>
      <c r="E2" s="1"/>
      <c r="F2" s="1"/>
      <c r="G2" s="1"/>
      <c r="H2" s="32">
        <f>PERCENTILE(H5:H66,0.95)</f>
        <v>279.05000000000013</v>
      </c>
      <c r="I2" s="1"/>
      <c r="J2" s="1">
        <f>PERCENTILE(J5:J66,0.95)</f>
        <v>560.91163811849333</v>
      </c>
      <c r="K2" s="1"/>
      <c r="L2" s="1"/>
      <c r="M2" s="32">
        <f>PERCENTILE(M5:M66,0.95)</f>
        <v>26.999999999999957</v>
      </c>
      <c r="N2" s="1"/>
      <c r="O2" s="1">
        <f>PERCENTILE(O5:O66,0.95)</f>
        <v>36.9860599753641</v>
      </c>
      <c r="P2" s="1"/>
      <c r="Q2" s="1"/>
      <c r="R2" s="32"/>
      <c r="S2" s="1"/>
      <c r="T2" s="1"/>
      <c r="U2" s="32"/>
      <c r="V2" s="1"/>
      <c r="W2" s="1"/>
      <c r="X2" s="40"/>
    </row>
    <row r="3" spans="1:24" x14ac:dyDescent="0.35">
      <c r="A3" s="1" t="s">
        <v>236</v>
      </c>
      <c r="B3" s="1"/>
      <c r="C3" s="1"/>
      <c r="D3" s="1"/>
      <c r="E3" s="1"/>
      <c r="F3" s="1"/>
      <c r="G3" s="1"/>
      <c r="H3" s="32">
        <f>MIN(H5:H66)</f>
        <v>4</v>
      </c>
      <c r="I3" s="1"/>
      <c r="J3" s="1">
        <f>MIN(J5:J66)</f>
        <v>0.46372010741874092</v>
      </c>
      <c r="K3" s="1"/>
      <c r="L3" s="1"/>
      <c r="M3" s="32">
        <f>MIN(M5:M66)</f>
        <v>1</v>
      </c>
      <c r="N3" s="1"/>
      <c r="O3" s="1">
        <f>MIN(O5:O66)</f>
        <v>2.4280418222348318E-2</v>
      </c>
      <c r="P3" s="1"/>
      <c r="Q3" s="1"/>
      <c r="R3" s="32"/>
      <c r="S3" s="1"/>
      <c r="T3" s="1"/>
      <c r="U3" s="32"/>
      <c r="V3" s="1"/>
      <c r="W3" s="1"/>
      <c r="X3" s="40"/>
    </row>
    <row r="4" spans="1:24" ht="63" x14ac:dyDescent="0.35">
      <c r="A4" s="25" t="s">
        <v>0</v>
      </c>
      <c r="B4" s="25" t="s">
        <v>1</v>
      </c>
      <c r="C4" s="25" t="s">
        <v>2</v>
      </c>
      <c r="D4" s="25" t="s">
        <v>3</v>
      </c>
      <c r="E4" s="25" t="s">
        <v>4</v>
      </c>
      <c r="F4" s="25" t="s">
        <v>156</v>
      </c>
      <c r="G4" s="25" t="s">
        <v>157</v>
      </c>
      <c r="H4" s="36" t="s">
        <v>239</v>
      </c>
      <c r="I4" s="27" t="s">
        <v>230</v>
      </c>
      <c r="J4" s="26" t="s">
        <v>240</v>
      </c>
      <c r="K4" s="27" t="s">
        <v>232</v>
      </c>
      <c r="L4" s="41" t="s">
        <v>263</v>
      </c>
      <c r="M4" s="36" t="s">
        <v>241</v>
      </c>
      <c r="N4" s="27" t="s">
        <v>230</v>
      </c>
      <c r="O4" s="26" t="s">
        <v>242</v>
      </c>
      <c r="P4" s="27" t="s">
        <v>232</v>
      </c>
      <c r="Q4" s="41" t="s">
        <v>264</v>
      </c>
      <c r="R4" s="34" t="s">
        <v>257</v>
      </c>
      <c r="S4" s="7" t="s">
        <v>258</v>
      </c>
      <c r="T4" s="35" t="s">
        <v>259</v>
      </c>
      <c r="U4" s="34" t="s">
        <v>260</v>
      </c>
      <c r="V4" s="7" t="s">
        <v>261</v>
      </c>
      <c r="W4" s="35" t="s">
        <v>262</v>
      </c>
      <c r="X4" s="39" t="s">
        <v>244</v>
      </c>
    </row>
    <row r="5" spans="1:24" x14ac:dyDescent="0.35">
      <c r="A5" s="1" t="s">
        <v>5</v>
      </c>
      <c r="B5" s="28" t="s">
        <v>6</v>
      </c>
      <c r="C5" s="1" t="s">
        <v>7</v>
      </c>
      <c r="D5" s="1" t="s">
        <v>8</v>
      </c>
      <c r="E5" s="28" t="s">
        <v>9</v>
      </c>
      <c r="F5" s="28" t="s">
        <v>159</v>
      </c>
      <c r="G5" s="28" t="str">
        <f>VLOOKUP($A5,'EBA2017'!$A:$G,7,FALSE)</f>
        <v>One</v>
      </c>
      <c r="H5" s="32" t="str">
        <f>VLOOKUP($A5,Calculator!$A:$AE,27,FALSE)</f>
        <v>No practice</v>
      </c>
      <c r="I5" s="28">
        <f>IF(H5="No data","No data",IF(OR(H5="No practice",H5="N/A",H5&gt;$H$2),0,($H$2-H5)/($H$2-$H$3)*100))</f>
        <v>0</v>
      </c>
      <c r="J5" s="1" t="str">
        <f>VLOOKUP($A5,Calculator!$A:$AE,28,FALSE)</f>
        <v>No practice</v>
      </c>
      <c r="K5" s="28">
        <f>IF(J5="No data","No data",IF(OR(J5="No practice",J5="N/A",J5&gt;$J$2),0,($J$2-J5)/($J$2-$J$3)*100))</f>
        <v>0</v>
      </c>
      <c r="L5" s="28">
        <f>IF(AND(I5="N/A",K5="N/A"),"N/A",IF(AND(I5="No data",K5="No data"),"No data",AVERAGE(I5,K5)/100))</f>
        <v>0</v>
      </c>
      <c r="M5" s="32">
        <f>VLOOKUP($A5,Calculator!$A:$AE,29,FALSE)</f>
        <v>3</v>
      </c>
      <c r="N5" s="28">
        <f>IF(M5="No data","No data",IF(OR(M5="No practice",M5="N/A",M5&gt;$M$2),0,($M$2-M5)/($M$2-$M$3)*100))</f>
        <v>92.307692307692292</v>
      </c>
      <c r="O5" s="1">
        <f>VLOOKUP($A5,Calculator!$A:$AE,30,FALSE)</f>
        <v>0.28790899740247583</v>
      </c>
      <c r="P5" s="28">
        <f>IF(O5="No data","No data",IF(OR(O5="No practice",O5="N/A",O5&gt;$O$2),0,($O$2-O5)/($O$2-$O$3)*100))</f>
        <v>99.286753553701146</v>
      </c>
      <c r="Q5" s="28">
        <f>IF(AND(N5="No data",P5="No data"),"No data",AVERAGE(N5,P5)/100)</f>
        <v>0.95797222930696724</v>
      </c>
      <c r="R5" s="32">
        <f>VLOOKUP($A5,Calculator!$A:$Z,24,FALSE)</f>
        <v>0.5</v>
      </c>
      <c r="S5" s="1">
        <f>VLOOKUP($A5,Calculator!$A:$Z,25,FALSE)</f>
        <v>5</v>
      </c>
      <c r="T5" s="1">
        <f>VLOOKUP($A5,Calculator!$A:$Z,26,FALSE)</f>
        <v>5</v>
      </c>
      <c r="U5" s="32">
        <f>IF(R5="No Data","No Data",R5/(5-IF(R5&lt;5,VLOOKUP($A5,'Data Gaps'!$A:$N,9,FALSE),0)))</f>
        <v>0.1</v>
      </c>
      <c r="V5" s="1">
        <f>IF(S5="No Data", "No Data",S5/(8-IF(S5&lt;8,VLOOKUP($A5,'Data Gaps'!$A:$N,10,FALSE),0)))</f>
        <v>0.625</v>
      </c>
      <c r="W5" s="1">
        <f>IF(T5="No Data","No Data",T5/(5-IF(T5&lt;5,VLOOKUP($A5,'Data Gaps'!$A:$N,11,FALSE),0)))</f>
        <v>1</v>
      </c>
      <c r="X5" s="40">
        <f>100*AVERAGE(L5,Q5,U5,V5,W5)</f>
        <v>53.659444586139351</v>
      </c>
    </row>
    <row r="6" spans="1:24" x14ac:dyDescent="0.35">
      <c r="A6" s="1" t="s">
        <v>23</v>
      </c>
      <c r="B6" s="28" t="s">
        <v>24</v>
      </c>
      <c r="C6" s="1" t="s">
        <v>7</v>
      </c>
      <c r="D6" s="1" t="s">
        <v>8</v>
      </c>
      <c r="E6" s="29" t="s">
        <v>25</v>
      </c>
      <c r="F6" s="28" t="s">
        <v>161</v>
      </c>
      <c r="G6" s="28" t="str">
        <f>VLOOKUP($A6,'EBA2017'!$A:$G,7,FALSE)</f>
        <v>One</v>
      </c>
      <c r="H6" s="32" t="str">
        <f>VLOOKUP($A6,Calculator!$A:$AE,27,FALSE)</f>
        <v>N/A</v>
      </c>
      <c r="I6" s="28">
        <f t="shared" ref="I6:I66" si="0">IF(H6="No data","No data",IF(OR(H6="No practice",H6="N/A",H6&gt;$H$2),0,($H$2-H6)/($H$2-$H$3)*100))</f>
        <v>0</v>
      </c>
      <c r="J6" s="1" t="str">
        <f>VLOOKUP($A6,Calculator!$A:$AE,28,FALSE)</f>
        <v>N/A</v>
      </c>
      <c r="K6" s="28">
        <f t="shared" ref="K6:K66" si="1">IF(J6="No data","No data",IF(OR(J6="No practice",J6="N/A",J6&gt;$J$2),0,($J$2-J6)/($J$2-$J$3)*100))</f>
        <v>0</v>
      </c>
      <c r="L6" s="28">
        <f t="shared" ref="L6:L66" si="2">IF(AND(I6="N/A",K6="N/A"),"N/A",IF(AND(I6="No data",K6="No data"),"No data",AVERAGE(I6,K6)/100))</f>
        <v>0</v>
      </c>
      <c r="M6" s="32">
        <f>VLOOKUP($A6,Calculator!$A:$AE,29,FALSE)</f>
        <v>7</v>
      </c>
      <c r="N6" s="28">
        <f t="shared" ref="N6:N66" si="3">IF(M6="No data","No data",IF(OR(M6="No practice",M6="N/A",M6&gt;$M$2),0,($M$2-M6)/($M$2-$M$3)*100))</f>
        <v>76.923076923076877</v>
      </c>
      <c r="O6" s="1">
        <f>VLOOKUP($A6,Calculator!$A:$AE,30,FALSE)</f>
        <v>13.371292804896543</v>
      </c>
      <c r="P6" s="28">
        <f t="shared" ref="P6:P66" si="4">IF(O6="No data","No data",IF(OR(O6="No practice",O6="N/A",O6&gt;$O$2),0,($O$2-O6)/($O$2-$O$3)*100))</f>
        <v>63.889692145260128</v>
      </c>
      <c r="Q6" s="28">
        <f t="shared" ref="Q6:Q66" si="5">IF(AND(N6="No data",P6="No data"),"No data",AVERAGE(N6,P6)/100)</f>
        <v>0.70406384534168498</v>
      </c>
      <c r="R6" s="32">
        <f>VLOOKUP($A6,Calculator!$A:$Z,24,FALSE)</f>
        <v>1</v>
      </c>
      <c r="S6" s="1">
        <f>VLOOKUP($A6,Calculator!$A:$Z,25,FALSE)</f>
        <v>5.3333333333333321</v>
      </c>
      <c r="T6" s="1">
        <f>VLOOKUP($A6,Calculator!$A:$Z,26,FALSE)</f>
        <v>5</v>
      </c>
      <c r="U6" s="32">
        <f>IF(R6="No Data","No Data",R6/(5-IF(R6&lt;5,VLOOKUP($A6,'Data Gaps'!$A:$N,9,FALSE),0)))</f>
        <v>0.2</v>
      </c>
      <c r="V6" s="1">
        <f>IF(S6="No Data", "No Data",S6/(8-IF(S6&lt;8,VLOOKUP($A6,'Data Gaps'!$A:$N,10,FALSE),0)))</f>
        <v>0.66666666666666652</v>
      </c>
      <c r="W6" s="1">
        <f>IF(T6="No Data","No Data",T6/(5-IF(T6&lt;5,VLOOKUP($A6,'Data Gaps'!$A:$N,11,FALSE),0)))</f>
        <v>1</v>
      </c>
      <c r="X6" s="40">
        <f t="shared" ref="X6:X66" si="6">100*AVERAGE(L6,Q6,U6,V6,W6)</f>
        <v>51.414610240167022</v>
      </c>
    </row>
    <row r="7" spans="1:24" x14ac:dyDescent="0.35">
      <c r="A7" s="1" t="s">
        <v>36</v>
      </c>
      <c r="B7" s="28" t="s">
        <v>37</v>
      </c>
      <c r="C7" s="1" t="s">
        <v>38</v>
      </c>
      <c r="D7" s="1" t="s">
        <v>39</v>
      </c>
      <c r="E7" s="29" t="s">
        <v>40</v>
      </c>
      <c r="F7" s="28" t="s">
        <v>159</v>
      </c>
      <c r="G7" s="28" t="str">
        <f>VLOOKUP($A7,'EBA2017'!$A:$G,7,FALSE)</f>
        <v>One</v>
      </c>
      <c r="H7" s="32" t="str">
        <f>VLOOKUP($A7,Calculator!$A:$AE,27,FALSE)</f>
        <v>N/A</v>
      </c>
      <c r="I7" s="28">
        <f t="shared" si="0"/>
        <v>0</v>
      </c>
      <c r="J7" s="1" t="str">
        <f>VLOOKUP($A7,Calculator!$A:$AE,28,FALSE)</f>
        <v>N/A</v>
      </c>
      <c r="K7" s="28">
        <f t="shared" si="1"/>
        <v>0</v>
      </c>
      <c r="L7" s="28">
        <f t="shared" si="2"/>
        <v>0</v>
      </c>
      <c r="M7" s="32">
        <f>VLOOKUP($A7,Calculator!$A:$AE,29,FALSE)</f>
        <v>4</v>
      </c>
      <c r="N7" s="28">
        <f t="shared" si="3"/>
        <v>88.461538461538453</v>
      </c>
      <c r="O7" s="1">
        <f>VLOOKUP($A7,Calculator!$A:$AE,30,FALSE)</f>
        <v>0.57098356697200725</v>
      </c>
      <c r="P7" s="28">
        <f t="shared" si="4"/>
        <v>98.520896030169553</v>
      </c>
      <c r="Q7" s="28">
        <f t="shared" si="5"/>
        <v>0.93491217245854008</v>
      </c>
      <c r="R7" s="32">
        <f>VLOOKUP($A7,Calculator!$A:$Z,24,FALSE)</f>
        <v>4</v>
      </c>
      <c r="S7" s="1">
        <f>VLOOKUP($A7,Calculator!$A:$Z,25,FALSE)</f>
        <v>0</v>
      </c>
      <c r="T7" s="1">
        <f>VLOOKUP($A7,Calculator!$A:$Z,26,FALSE)</f>
        <v>5</v>
      </c>
      <c r="U7" s="32">
        <f>IF(R7="No Data","No Data",R7/(5-IF(R7&lt;5,VLOOKUP($A7,'Data Gaps'!$A:$N,9,FALSE),0)))</f>
        <v>0.8</v>
      </c>
      <c r="V7" s="1">
        <f>IF(S7="No Data", "No Data",S7/(8-IF(S7&lt;8,VLOOKUP($A7,'Data Gaps'!$A:$N,10,FALSE),0)))</f>
        <v>0</v>
      </c>
      <c r="W7" s="1">
        <f>IF(T7="No Data","No Data",T7/(5-IF(T7&lt;5,VLOOKUP($A7,'Data Gaps'!$A:$N,11,FALSE),0)))</f>
        <v>1</v>
      </c>
      <c r="X7" s="40">
        <f t="shared" si="6"/>
        <v>54.698243449170803</v>
      </c>
    </row>
    <row r="8" spans="1:24" x14ac:dyDescent="0.35">
      <c r="A8" s="1" t="s">
        <v>45</v>
      </c>
      <c r="B8" s="28" t="s">
        <v>46</v>
      </c>
      <c r="C8" s="1" t="s">
        <v>38</v>
      </c>
      <c r="D8" s="1" t="s">
        <v>39</v>
      </c>
      <c r="E8" s="29" t="s">
        <v>40</v>
      </c>
      <c r="F8" s="28" t="s">
        <v>162</v>
      </c>
      <c r="G8" s="28" t="str">
        <f>VLOOKUP($A8,'EBA2017'!$A:$G,7,FALSE)</f>
        <v>One</v>
      </c>
      <c r="H8" s="32" t="str">
        <f>VLOOKUP($A8,Calculator!$A:$AE,27,FALSE)</f>
        <v>No data</v>
      </c>
      <c r="I8" s="28" t="str">
        <f t="shared" si="0"/>
        <v>No data</v>
      </c>
      <c r="J8" s="1" t="str">
        <f>VLOOKUP($A8,Calculator!$A:$AE,28,FALSE)</f>
        <v>No data</v>
      </c>
      <c r="K8" s="28" t="str">
        <f t="shared" si="1"/>
        <v>No data</v>
      </c>
      <c r="L8" s="28" t="str">
        <f t="shared" si="2"/>
        <v>No data</v>
      </c>
      <c r="M8" s="32" t="str">
        <f>VLOOKUP($A8,Calculator!$A:$AE,29,FALSE)</f>
        <v>No data</v>
      </c>
      <c r="N8" s="28" t="str">
        <f t="shared" si="3"/>
        <v>No data</v>
      </c>
      <c r="O8" s="1">
        <f>VLOOKUP($A8,Calculator!$A:$AE,30,FALSE)</f>
        <v>0.10595729031992933</v>
      </c>
      <c r="P8" s="28">
        <f t="shared" si="4"/>
        <v>99.779023431565804</v>
      </c>
      <c r="Q8" s="28">
        <f t="shared" si="5"/>
        <v>0.99779023431565805</v>
      </c>
      <c r="R8" s="32">
        <f>VLOOKUP($A8,Calculator!$A:$Z,24,FALSE)</f>
        <v>2</v>
      </c>
      <c r="S8" s="1">
        <f>VLOOKUP($A8,Calculator!$A:$Z,25,FALSE)</f>
        <v>7</v>
      </c>
      <c r="T8" s="1">
        <f>VLOOKUP($A8,Calculator!$A:$Z,26,FALSE)</f>
        <v>5</v>
      </c>
      <c r="U8" s="32">
        <f>IF(R8="No Data","No Data",R8/(5-IF(R8&lt;5,VLOOKUP($A8,'Data Gaps'!$A:$N,9,FALSE),0)))</f>
        <v>0.4</v>
      </c>
      <c r="V8" s="1">
        <f>IF(S8="No Data", "No Data",S8/(8-IF(S8&lt;8,VLOOKUP($A8,'Data Gaps'!$A:$N,10,FALSE),0)))</f>
        <v>0.875</v>
      </c>
      <c r="W8" s="1">
        <f>IF(T8="No Data","No Data",T8/(5-IF(T8&lt;5,VLOOKUP($A8,'Data Gaps'!$A:$N,11,FALSE),0)))</f>
        <v>1</v>
      </c>
      <c r="X8" s="40">
        <f t="shared" si="6"/>
        <v>81.819755857891451</v>
      </c>
    </row>
    <row r="9" spans="1:24" x14ac:dyDescent="0.35">
      <c r="A9" s="1" t="s">
        <v>120</v>
      </c>
      <c r="B9" s="28" t="s">
        <v>121</v>
      </c>
      <c r="C9" s="1" t="s">
        <v>38</v>
      </c>
      <c r="D9" s="1" t="s">
        <v>39</v>
      </c>
      <c r="E9" s="29" t="s">
        <v>40</v>
      </c>
      <c r="F9" s="28" t="s">
        <v>159</v>
      </c>
      <c r="G9" s="28" t="str">
        <f>VLOOKUP($A9,'EBA2017'!$A:$G,7,FALSE)</f>
        <v>One</v>
      </c>
      <c r="H9" s="32">
        <f>VLOOKUP($A9,Calculator!$A:$AE,27,FALSE)</f>
        <v>451</v>
      </c>
      <c r="I9" s="28">
        <f t="shared" si="0"/>
        <v>0</v>
      </c>
      <c r="J9" s="1">
        <f>VLOOKUP($A9,Calculator!$A:$AE,28,FALSE)</f>
        <v>32.234146513647268</v>
      </c>
      <c r="K9" s="28">
        <f t="shared" si="1"/>
        <v>94.331243745364276</v>
      </c>
      <c r="L9" s="28">
        <f t="shared" si="2"/>
        <v>0.4716562187268214</v>
      </c>
      <c r="M9" s="32">
        <f>VLOOKUP($A9,Calculator!$A:$AE,29,FALSE)</f>
        <v>5</v>
      </c>
      <c r="N9" s="28">
        <f t="shared" si="3"/>
        <v>84.615384615384599</v>
      </c>
      <c r="O9" s="1">
        <f>VLOOKUP($A9,Calculator!$A:$AE,30,FALSE)</f>
        <v>0.64468293027294532</v>
      </c>
      <c r="P9" s="28">
        <f t="shared" si="4"/>
        <v>98.321502591368812</v>
      </c>
      <c r="Q9" s="28">
        <f t="shared" si="5"/>
        <v>0.91468443603376703</v>
      </c>
      <c r="R9" s="32">
        <f>VLOOKUP($A9,Calculator!$A:$Z,24,FALSE)</f>
        <v>4.5</v>
      </c>
      <c r="S9" s="1">
        <f>VLOOKUP($A9,Calculator!$A:$Z,25,FALSE)</f>
        <v>7</v>
      </c>
      <c r="T9" s="1">
        <f>VLOOKUP($A9,Calculator!$A:$Z,26,FALSE)</f>
        <v>5</v>
      </c>
      <c r="U9" s="32">
        <f>IF(R9="No Data","No Data",R9/(5-IF(R9&lt;5,VLOOKUP($A9,'Data Gaps'!$A:$N,9,FALSE),0)))</f>
        <v>0.9</v>
      </c>
      <c r="V9" s="1">
        <f>IF(S9="No Data", "No Data",S9/(8-IF(S9&lt;8,VLOOKUP($A9,'Data Gaps'!$A:$N,10,FALSE),0)))</f>
        <v>0.875</v>
      </c>
      <c r="W9" s="1">
        <f>IF(T9="No Data","No Data",T9/(5-IF(T9&lt;5,VLOOKUP($A9,'Data Gaps'!$A:$N,11,FALSE),0)))</f>
        <v>1</v>
      </c>
      <c r="X9" s="40">
        <f t="shared" si="6"/>
        <v>83.226813095211753</v>
      </c>
    </row>
    <row r="10" spans="1:24" x14ac:dyDescent="0.35">
      <c r="A10" s="1" t="s">
        <v>53</v>
      </c>
      <c r="B10" s="28" t="s">
        <v>54</v>
      </c>
      <c r="C10" s="1" t="s">
        <v>7</v>
      </c>
      <c r="D10" s="1" t="s">
        <v>8</v>
      </c>
      <c r="E10" s="29" t="s">
        <v>25</v>
      </c>
      <c r="F10" s="28" t="s">
        <v>162</v>
      </c>
      <c r="G10" s="28" t="str">
        <f>VLOOKUP($A10,'EBA2017'!$A:$G,7,FALSE)</f>
        <v>One</v>
      </c>
      <c r="H10" s="32" t="str">
        <f>VLOOKUP($A10,Calculator!$A:$AE,27,FALSE)</f>
        <v>N/A</v>
      </c>
      <c r="I10" s="28">
        <f t="shared" si="0"/>
        <v>0</v>
      </c>
      <c r="J10" s="1" t="str">
        <f>VLOOKUP($A10,Calculator!$A:$AE,28,FALSE)</f>
        <v>N/A</v>
      </c>
      <c r="K10" s="28">
        <f t="shared" si="1"/>
        <v>0</v>
      </c>
      <c r="L10" s="28">
        <f t="shared" si="2"/>
        <v>0</v>
      </c>
      <c r="M10" s="32">
        <f>VLOOKUP($A10,Calculator!$A:$AE,29,FALSE)</f>
        <v>1</v>
      </c>
      <c r="N10" s="28">
        <f t="shared" si="3"/>
        <v>100</v>
      </c>
      <c r="O10" s="1">
        <f>VLOOKUP($A10,Calculator!$A:$AE,30,FALSE)</f>
        <v>0.73989608745436197</v>
      </c>
      <c r="P10" s="28">
        <f t="shared" si="4"/>
        <v>98.063903638282085</v>
      </c>
      <c r="Q10" s="28">
        <f t="shared" si="5"/>
        <v>0.9903195181914104</v>
      </c>
      <c r="R10" s="32">
        <f>VLOOKUP($A10,Calculator!$A:$Z,24,FALSE)</f>
        <v>0.5</v>
      </c>
      <c r="S10" s="1">
        <f>VLOOKUP($A10,Calculator!$A:$Z,25,FALSE)</f>
        <v>0</v>
      </c>
      <c r="T10" s="1">
        <f>VLOOKUP($A10,Calculator!$A:$Z,26,FALSE)</f>
        <v>5</v>
      </c>
      <c r="U10" s="32">
        <f>IF(R10="No Data","No Data",R10/(5-IF(R10&lt;5,VLOOKUP($A10,'Data Gaps'!$A:$N,9,FALSE),0)))</f>
        <v>0.1</v>
      </c>
      <c r="V10" s="1">
        <f>IF(S10="No Data", "No Data",S10/(8-IF(S10&lt;8,VLOOKUP($A10,'Data Gaps'!$A:$N,10,FALSE),0)))</f>
        <v>0</v>
      </c>
      <c r="W10" s="1">
        <f>IF(T10="No Data","No Data",T10/(5-IF(T10&lt;5,VLOOKUP($A10,'Data Gaps'!$A:$N,11,FALSE),0)))</f>
        <v>1</v>
      </c>
      <c r="X10" s="40">
        <f t="shared" si="6"/>
        <v>41.806390363828214</v>
      </c>
    </row>
    <row r="11" spans="1:24" x14ac:dyDescent="0.35">
      <c r="A11" s="1" t="s">
        <v>57</v>
      </c>
      <c r="B11" s="28" t="s">
        <v>58</v>
      </c>
      <c r="C11" s="1" t="s">
        <v>38</v>
      </c>
      <c r="D11" s="1" t="s">
        <v>39</v>
      </c>
      <c r="E11" s="29" t="s">
        <v>40</v>
      </c>
      <c r="F11" s="28" t="s">
        <v>159</v>
      </c>
      <c r="G11" s="28" t="str">
        <f>VLOOKUP($A11,'EBA2017'!$A:$G,7,FALSE)</f>
        <v>One</v>
      </c>
      <c r="H11" s="32">
        <f>VLOOKUP($A11,Calculator!$A:$AE,27,FALSE)</f>
        <v>35</v>
      </c>
      <c r="I11" s="28">
        <f t="shared" si="0"/>
        <v>88.729321941465187</v>
      </c>
      <c r="J11" s="1">
        <f>VLOOKUP($A11,Calculator!$A:$AE,28,FALSE)</f>
        <v>1.2247539564942431</v>
      </c>
      <c r="K11" s="28">
        <f t="shared" si="1"/>
        <v>99.864209710729895</v>
      </c>
      <c r="L11" s="28">
        <f t="shared" si="2"/>
        <v>0.94296765826097539</v>
      </c>
      <c r="M11" s="32">
        <f>VLOOKUP($A11,Calculator!$A:$AE,29,FALSE)</f>
        <v>3.5</v>
      </c>
      <c r="N11" s="28">
        <f t="shared" si="3"/>
        <v>90.384615384615373</v>
      </c>
      <c r="O11" s="1">
        <f>VLOOKUP($A11,Calculator!$A:$AE,30,FALSE)</f>
        <v>6.123769782471216E-2</v>
      </c>
      <c r="P11" s="28">
        <f t="shared" si="4"/>
        <v>99.900012174616123</v>
      </c>
      <c r="Q11" s="28">
        <f t="shared" si="5"/>
        <v>0.9514231377961575</v>
      </c>
      <c r="R11" s="32">
        <f>VLOOKUP($A11,Calculator!$A:$Z,24,FALSE)</f>
        <v>2</v>
      </c>
      <c r="S11" s="1">
        <f>VLOOKUP($A11,Calculator!$A:$Z,25,FALSE)</f>
        <v>7</v>
      </c>
      <c r="T11" s="1">
        <f>VLOOKUP($A11,Calculator!$A:$Z,26,FALSE)</f>
        <v>5</v>
      </c>
      <c r="U11" s="32">
        <f>IF(R11="No Data","No Data",R11/(5-IF(R11&lt;5,VLOOKUP($A11,'Data Gaps'!$A:$N,9,FALSE),0)))</f>
        <v>0.4</v>
      </c>
      <c r="V11" s="1">
        <f>IF(S11="No Data", "No Data",S11/(8-IF(S11&lt;8,VLOOKUP($A11,'Data Gaps'!$A:$N,10,FALSE),0)))</f>
        <v>0.875</v>
      </c>
      <c r="W11" s="1">
        <f>IF(T11="No Data","No Data",T11/(5-IF(T11&lt;5,VLOOKUP($A11,'Data Gaps'!$A:$N,11,FALSE),0)))</f>
        <v>1</v>
      </c>
      <c r="X11" s="40">
        <f t="shared" si="6"/>
        <v>83.387815921142661</v>
      </c>
    </row>
    <row r="12" spans="1:24" x14ac:dyDescent="0.35">
      <c r="A12" s="1" t="s">
        <v>64</v>
      </c>
      <c r="B12" s="28" t="s">
        <v>65</v>
      </c>
      <c r="C12" s="1" t="s">
        <v>38</v>
      </c>
      <c r="D12" s="1" t="s">
        <v>39</v>
      </c>
      <c r="E12" s="28" t="s">
        <v>40</v>
      </c>
      <c r="F12" s="28" t="s">
        <v>159</v>
      </c>
      <c r="G12" s="28" t="str">
        <f>VLOOKUP($A12,'EBA2017'!$A:$G,7,FALSE)</f>
        <v>One</v>
      </c>
      <c r="H12" s="32">
        <f>VLOOKUP($A12,Calculator!$A:$AE,27,FALSE)</f>
        <v>170</v>
      </c>
      <c r="I12" s="28">
        <f t="shared" si="0"/>
        <v>39.647336847845871</v>
      </c>
      <c r="J12" s="1" t="str">
        <f>VLOOKUP($A12,Calculator!$A:$AE,28,FALSE)</f>
        <v>No data</v>
      </c>
      <c r="K12" s="28" t="str">
        <f t="shared" si="1"/>
        <v>No data</v>
      </c>
      <c r="L12" s="28">
        <f t="shared" si="2"/>
        <v>0.39647336847845871</v>
      </c>
      <c r="M12" s="32">
        <f>VLOOKUP($A12,Calculator!$A:$AE,29,FALSE)</f>
        <v>6</v>
      </c>
      <c r="N12" s="28">
        <f t="shared" si="3"/>
        <v>80.769230769230731</v>
      </c>
      <c r="O12" s="1">
        <f>VLOOKUP($A12,Calculator!$A:$AE,30,FALSE)</f>
        <v>0.37206652987495276</v>
      </c>
      <c r="P12" s="28">
        <f t="shared" si="4"/>
        <v>99.059065564971149</v>
      </c>
      <c r="Q12" s="28">
        <f t="shared" si="5"/>
        <v>0.89914148167100938</v>
      </c>
      <c r="R12" s="32">
        <f>VLOOKUP($A12,Calculator!$A:$Z,24,FALSE)</f>
        <v>2</v>
      </c>
      <c r="S12" s="1">
        <f>VLOOKUP($A12,Calculator!$A:$Z,25,FALSE)</f>
        <v>7</v>
      </c>
      <c r="T12" s="1">
        <f>VLOOKUP($A12,Calculator!$A:$Z,26,FALSE)</f>
        <v>5</v>
      </c>
      <c r="U12" s="32">
        <f>IF(R12="No Data","No Data",R12/(5-IF(R12&lt;5,VLOOKUP($A12,'Data Gaps'!$A:$N,9,FALSE),0)))</f>
        <v>0.4</v>
      </c>
      <c r="V12" s="1">
        <f>IF(S12="No Data", "No Data",S12/(8-IF(S12&lt;8,VLOOKUP($A12,'Data Gaps'!$A:$N,10,FALSE),0)))</f>
        <v>0.875</v>
      </c>
      <c r="W12" s="1">
        <f>IF(T12="No Data","No Data",T12/(5-IF(T12&lt;5,VLOOKUP($A12,'Data Gaps'!$A:$N,11,FALSE),0)))</f>
        <v>1</v>
      </c>
      <c r="X12" s="40">
        <f t="shared" si="6"/>
        <v>71.412297002989362</v>
      </c>
    </row>
    <row r="13" spans="1:24" x14ac:dyDescent="0.35">
      <c r="A13" s="1" t="s">
        <v>68</v>
      </c>
      <c r="B13" s="28" t="s">
        <v>69</v>
      </c>
      <c r="C13" s="1" t="s">
        <v>7</v>
      </c>
      <c r="D13" s="1" t="s">
        <v>8</v>
      </c>
      <c r="E13" s="28" t="s">
        <v>25</v>
      </c>
      <c r="F13" s="28" t="s">
        <v>162</v>
      </c>
      <c r="G13" s="28" t="str">
        <f>VLOOKUP($A13,'EBA2017'!$A:$G,7,FALSE)</f>
        <v>One</v>
      </c>
      <c r="H13" s="32">
        <f>VLOOKUP($A13,Calculator!$A:$AE,27,FALSE)</f>
        <v>15</v>
      </c>
      <c r="I13" s="28">
        <f t="shared" si="0"/>
        <v>96.000727140519899</v>
      </c>
      <c r="J13" s="1">
        <f>VLOOKUP($A13,Calculator!$A:$AE,28,FALSE)</f>
        <v>6.868576583408295</v>
      </c>
      <c r="K13" s="28">
        <f t="shared" si="1"/>
        <v>98.857189710201951</v>
      </c>
      <c r="L13" s="28">
        <f t="shared" si="2"/>
        <v>0.97428958425360923</v>
      </c>
      <c r="M13" s="32">
        <f>VLOOKUP($A13,Calculator!$A:$AE,29,FALSE)</f>
        <v>10</v>
      </c>
      <c r="N13" s="28">
        <f t="shared" si="3"/>
        <v>65.38461538461533</v>
      </c>
      <c r="O13" s="1">
        <f>VLOOKUP($A13,Calculator!$A:$AE,30,FALSE)</f>
        <v>2.4280418222348318E-2</v>
      </c>
      <c r="P13" s="28">
        <f t="shared" si="4"/>
        <v>100</v>
      </c>
      <c r="Q13" s="28">
        <f t="shared" si="5"/>
        <v>0.82692307692307665</v>
      </c>
      <c r="R13" s="32">
        <f>VLOOKUP($A13,Calculator!$A:$Z,24,FALSE)</f>
        <v>2.5</v>
      </c>
      <c r="S13" s="1">
        <f>VLOOKUP($A13,Calculator!$A:$Z,25,FALSE)</f>
        <v>6.1666666666666661</v>
      </c>
      <c r="T13" s="1">
        <f>VLOOKUP($A13,Calculator!$A:$Z,26,FALSE)</f>
        <v>5</v>
      </c>
      <c r="U13" s="32">
        <f>IF(R13="No Data","No Data",R13/(5-IF(R13&lt;5,VLOOKUP($A13,'Data Gaps'!$A:$N,9,FALSE),0)))</f>
        <v>0.5</v>
      </c>
      <c r="V13" s="1">
        <f>IF(S13="No Data", "No Data",S13/(8-IF(S13&lt;8,VLOOKUP($A13,'Data Gaps'!$A:$N,10,FALSE),0)))</f>
        <v>0.77083333333333326</v>
      </c>
      <c r="W13" s="1">
        <f>IF(T13="No Data","No Data",T13/(5-IF(T13&lt;5,VLOOKUP($A13,'Data Gaps'!$A:$N,11,FALSE),0)))</f>
        <v>1</v>
      </c>
      <c r="X13" s="40">
        <f t="shared" si="6"/>
        <v>81.440919890200391</v>
      </c>
    </row>
    <row r="14" spans="1:24" x14ac:dyDescent="0.35">
      <c r="A14" s="1" t="s">
        <v>74</v>
      </c>
      <c r="B14" s="28" t="s">
        <v>75</v>
      </c>
      <c r="C14" s="1" t="s">
        <v>7</v>
      </c>
      <c r="D14" s="1" t="s">
        <v>8</v>
      </c>
      <c r="E14" s="28" t="s">
        <v>9</v>
      </c>
      <c r="F14" s="28" t="s">
        <v>161</v>
      </c>
      <c r="G14" s="28" t="str">
        <f>VLOOKUP($A14,'EBA2017'!$A:$G,7,FALSE)</f>
        <v>One</v>
      </c>
      <c r="H14" s="32" t="str">
        <f>VLOOKUP($A14,Calculator!$A:$AE,27,FALSE)</f>
        <v>No practice</v>
      </c>
      <c r="I14" s="28">
        <f t="shared" si="0"/>
        <v>0</v>
      </c>
      <c r="J14" s="1" t="str">
        <f>VLOOKUP($A14,Calculator!$A:$AE,28,FALSE)</f>
        <v>No practice</v>
      </c>
      <c r="K14" s="28">
        <f t="shared" si="1"/>
        <v>0</v>
      </c>
      <c r="L14" s="28">
        <f t="shared" si="2"/>
        <v>0</v>
      </c>
      <c r="M14" s="32">
        <f>VLOOKUP($A14,Calculator!$A:$AE,29,FALSE)</f>
        <v>2</v>
      </c>
      <c r="N14" s="28">
        <f t="shared" si="3"/>
        <v>96.153846153846146</v>
      </c>
      <c r="O14" s="1">
        <f>VLOOKUP($A14,Calculator!$A:$AE,30,FALSE)</f>
        <v>1.4627956578854862</v>
      </c>
      <c r="P14" s="28">
        <f t="shared" si="4"/>
        <v>96.108100700510803</v>
      </c>
      <c r="Q14" s="28">
        <f t="shared" si="5"/>
        <v>0.96130973427178479</v>
      </c>
      <c r="R14" s="32">
        <f>VLOOKUP($A14,Calculator!$A:$Z,24,FALSE)</f>
        <v>3</v>
      </c>
      <c r="S14" s="1">
        <f>VLOOKUP($A14,Calculator!$A:$Z,25,FALSE)</f>
        <v>5.5</v>
      </c>
      <c r="T14" s="1">
        <f>VLOOKUP($A14,Calculator!$A:$Z,26,FALSE)</f>
        <v>5</v>
      </c>
      <c r="U14" s="32">
        <f>IF(R14="No Data","No Data",R14/(5-IF(R14&lt;5,VLOOKUP($A14,'Data Gaps'!$A:$N,9,FALSE),0)))</f>
        <v>0.6</v>
      </c>
      <c r="V14" s="1">
        <f>IF(S14="No Data", "No Data",S14/(8-IF(S14&lt;8,VLOOKUP($A14,'Data Gaps'!$A:$N,10,FALSE),0)))</f>
        <v>0.6875</v>
      </c>
      <c r="W14" s="1">
        <f>IF(T14="No Data","No Data",T14/(5-IF(T14&lt;5,VLOOKUP($A14,'Data Gaps'!$A:$N,11,FALSE),0)))</f>
        <v>1</v>
      </c>
      <c r="X14" s="40">
        <f t="shared" si="6"/>
        <v>64.976194685435701</v>
      </c>
    </row>
    <row r="15" spans="1:24" x14ac:dyDescent="0.35">
      <c r="A15" s="1" t="s">
        <v>72</v>
      </c>
      <c r="B15" s="28" t="s">
        <v>73</v>
      </c>
      <c r="C15" s="1" t="s">
        <v>38</v>
      </c>
      <c r="D15" s="1" t="s">
        <v>39</v>
      </c>
      <c r="E15" s="28" t="s">
        <v>40</v>
      </c>
      <c r="F15" s="28" t="s">
        <v>161</v>
      </c>
      <c r="G15" s="28" t="str">
        <f>VLOOKUP($A15,'EBA2017'!$A:$G,7,FALSE)</f>
        <v>One</v>
      </c>
      <c r="H15" s="32">
        <f>VLOOKUP($A15,Calculator!$A:$AE,27,FALSE)</f>
        <v>45</v>
      </c>
      <c r="I15" s="28">
        <f t="shared" si="0"/>
        <v>85.093619341937838</v>
      </c>
      <c r="J15" s="1">
        <f>VLOOKUP($A15,Calculator!$A:$AE,28,FALSE)</f>
        <v>7.9715513528791666</v>
      </c>
      <c r="K15" s="28">
        <f t="shared" si="1"/>
        <v>98.660387343019451</v>
      </c>
      <c r="L15" s="28">
        <f t="shared" si="2"/>
        <v>0.91877003342478647</v>
      </c>
      <c r="M15" s="32" t="str">
        <f>VLOOKUP($A15,Calculator!$A:$AE,29,FALSE)</f>
        <v>N/A</v>
      </c>
      <c r="N15" s="28">
        <f t="shared" si="3"/>
        <v>0</v>
      </c>
      <c r="O15" s="1" t="str">
        <f>VLOOKUP($A15,Calculator!$A:$AE,30,FALSE)</f>
        <v>N/A</v>
      </c>
      <c r="P15" s="28">
        <f t="shared" si="4"/>
        <v>0</v>
      </c>
      <c r="Q15" s="28">
        <f t="shared" si="5"/>
        <v>0</v>
      </c>
      <c r="R15" s="32">
        <f>VLOOKUP($A15,Calculator!$A:$Z,24,FALSE)</f>
        <v>1</v>
      </c>
      <c r="S15" s="1">
        <f>VLOOKUP($A15,Calculator!$A:$Z,25,FALSE)</f>
        <v>7</v>
      </c>
      <c r="T15" s="1">
        <f>VLOOKUP($A15,Calculator!$A:$Z,26,FALSE)</f>
        <v>5</v>
      </c>
      <c r="U15" s="32">
        <f>IF(R15="No Data","No Data",R15/(5-IF(R15&lt;5,VLOOKUP($A15,'Data Gaps'!$A:$N,9,FALSE),0)))</f>
        <v>0.2</v>
      </c>
      <c r="V15" s="1">
        <f>IF(S15="No Data", "No Data",S15/(8-IF(S15&lt;8,VLOOKUP($A15,'Data Gaps'!$A:$N,10,FALSE),0)))</f>
        <v>0.875</v>
      </c>
      <c r="W15" s="1">
        <f>IF(T15="No Data","No Data",T15/(5-IF(T15&lt;5,VLOOKUP($A15,'Data Gaps'!$A:$N,11,FALSE),0)))</f>
        <v>1</v>
      </c>
      <c r="X15" s="40">
        <f t="shared" si="6"/>
        <v>59.875400668495729</v>
      </c>
    </row>
    <row r="16" spans="1:24" x14ac:dyDescent="0.35">
      <c r="A16" s="1" t="s">
        <v>78</v>
      </c>
      <c r="B16" s="28" t="s">
        <v>79</v>
      </c>
      <c r="C16" s="1" t="s">
        <v>16</v>
      </c>
      <c r="D16" s="1" t="s">
        <v>17</v>
      </c>
      <c r="E16" s="28" t="s">
        <v>18</v>
      </c>
      <c r="F16" s="28" t="s">
        <v>160</v>
      </c>
      <c r="G16" s="28" t="str">
        <f>VLOOKUP($A16,'EBA2017'!$A:$G,7,FALSE)</f>
        <v>One</v>
      </c>
      <c r="H16" s="32" t="str">
        <f>VLOOKUP($A16,Calculator!$A:$AE,27,FALSE)</f>
        <v>N/A</v>
      </c>
      <c r="I16" s="28">
        <f t="shared" si="0"/>
        <v>0</v>
      </c>
      <c r="J16" s="1" t="str">
        <f>VLOOKUP($A16,Calculator!$A:$AE,28,FALSE)</f>
        <v>N/A</v>
      </c>
      <c r="K16" s="28">
        <f t="shared" si="1"/>
        <v>0</v>
      </c>
      <c r="L16" s="28">
        <f t="shared" si="2"/>
        <v>0</v>
      </c>
      <c r="M16" s="32">
        <f>VLOOKUP($A16,Calculator!$A:$AE,29,FALSE)</f>
        <v>5</v>
      </c>
      <c r="N16" s="28">
        <f t="shared" si="3"/>
        <v>84.615384615384599</v>
      </c>
      <c r="O16" s="1">
        <f>VLOOKUP($A16,Calculator!$A:$AE,30,FALSE)</f>
        <v>92.10526315789474</v>
      </c>
      <c r="P16" s="28">
        <f t="shared" si="4"/>
        <v>0</v>
      </c>
      <c r="Q16" s="28">
        <f t="shared" si="5"/>
        <v>0.42307692307692302</v>
      </c>
      <c r="R16" s="32">
        <f>VLOOKUP($A16,Calculator!$A:$Z,24,FALSE)</f>
        <v>1</v>
      </c>
      <c r="S16" s="1">
        <f>VLOOKUP($A16,Calculator!$A:$Z,25,FALSE)</f>
        <v>0.33333333333333326</v>
      </c>
      <c r="T16" s="1">
        <f>VLOOKUP($A16,Calculator!$A:$Z,26,FALSE)</f>
        <v>0</v>
      </c>
      <c r="U16" s="32">
        <f>IF(R16="No Data","No Data",R16/(5-IF(R16&lt;5,VLOOKUP($A16,'Data Gaps'!$A:$N,9,FALSE),0)))</f>
        <v>0.2</v>
      </c>
      <c r="V16" s="1">
        <f>IF(S16="No Data", "No Data",S16/(8-IF(S16&lt;8,VLOOKUP($A16,'Data Gaps'!$A:$N,10,FALSE),0)))</f>
        <v>4.1666666666666657E-2</v>
      </c>
      <c r="W16" s="1">
        <f>IF(T16="No Data","No Data",T16/(5-IF(T16&lt;5,VLOOKUP($A16,'Data Gaps'!$A:$N,11,FALSE),0)))</f>
        <v>0</v>
      </c>
      <c r="X16" s="40">
        <f t="shared" si="6"/>
        <v>13.294871794871794</v>
      </c>
    </row>
    <row r="17" spans="1:24" x14ac:dyDescent="0.35">
      <c r="A17" s="1" t="s">
        <v>84</v>
      </c>
      <c r="B17" s="28" t="s">
        <v>85</v>
      </c>
      <c r="C17" s="1" t="s">
        <v>16</v>
      </c>
      <c r="D17" s="1" t="s">
        <v>17</v>
      </c>
      <c r="E17" s="28" t="s">
        <v>18</v>
      </c>
      <c r="F17" s="28" t="s">
        <v>159</v>
      </c>
      <c r="G17" s="28" t="str">
        <f>VLOOKUP($A17,'EBA2017'!$A:$G,7,FALSE)</f>
        <v>One</v>
      </c>
      <c r="H17" s="32" t="str">
        <f>VLOOKUP($A17,Calculator!$A:$AE,27,FALSE)</f>
        <v>N/A</v>
      </c>
      <c r="I17" s="28">
        <f t="shared" si="0"/>
        <v>0</v>
      </c>
      <c r="J17" s="1" t="str">
        <f>VLOOKUP($A17,Calculator!$A:$AE,28,FALSE)</f>
        <v>N/A</v>
      </c>
      <c r="K17" s="28">
        <f t="shared" si="1"/>
        <v>0</v>
      </c>
      <c r="L17" s="28">
        <f t="shared" si="2"/>
        <v>0</v>
      </c>
      <c r="M17" s="32" t="str">
        <f>VLOOKUP($A17,Calculator!$A:$AE,29,FALSE)</f>
        <v>N/A</v>
      </c>
      <c r="N17" s="28">
        <f t="shared" si="3"/>
        <v>0</v>
      </c>
      <c r="O17" s="1" t="str">
        <f>VLOOKUP($A17,Calculator!$A:$AE,30,FALSE)</f>
        <v>N/A</v>
      </c>
      <c r="P17" s="28">
        <f t="shared" si="4"/>
        <v>0</v>
      </c>
      <c r="Q17" s="28">
        <f t="shared" si="5"/>
        <v>0</v>
      </c>
      <c r="R17" s="32">
        <f>VLOOKUP($A17,Calculator!$A:$Z,24,FALSE)</f>
        <v>0</v>
      </c>
      <c r="S17" s="1">
        <f>VLOOKUP($A17,Calculator!$A:$Z,25,FALSE)</f>
        <v>0.33333333333333326</v>
      </c>
      <c r="T17" s="1">
        <f>VLOOKUP($A17,Calculator!$A:$Z,26,FALSE)</f>
        <v>2</v>
      </c>
      <c r="U17" s="32">
        <f>IF(R17="No Data","No Data",R17/(5-IF(R17&lt;5,VLOOKUP($A17,'Data Gaps'!$A:$N,9,FALSE),0)))</f>
        <v>0</v>
      </c>
      <c r="V17" s="1">
        <f>IF(S17="No Data", "No Data",S17/(8-IF(S17&lt;8,VLOOKUP($A17,'Data Gaps'!$A:$N,10,FALSE),0)))</f>
        <v>4.1666666666666657E-2</v>
      </c>
      <c r="W17" s="1">
        <f>IF(T17="No Data","No Data",T17/(5-IF(T17&lt;5,VLOOKUP($A17,'Data Gaps'!$A:$N,11,FALSE),0)))</f>
        <v>0.4</v>
      </c>
      <c r="X17" s="40">
        <f t="shared" si="6"/>
        <v>8.8333333333333339</v>
      </c>
    </row>
    <row r="18" spans="1:24" x14ac:dyDescent="0.35">
      <c r="A18" s="1" t="s">
        <v>96</v>
      </c>
      <c r="B18" s="28" t="s">
        <v>97</v>
      </c>
      <c r="C18" s="1" t="s">
        <v>38</v>
      </c>
      <c r="D18" s="1" t="s">
        <v>39</v>
      </c>
      <c r="E18" s="28" t="s">
        <v>40</v>
      </c>
      <c r="F18" s="28" t="s">
        <v>161</v>
      </c>
      <c r="G18" s="28" t="str">
        <f>VLOOKUP($A18,'EBA2017'!$A:$G,7,FALSE)</f>
        <v>One</v>
      </c>
      <c r="H18" s="32" t="str">
        <f>VLOOKUP($A18,Calculator!$A:$AE,27,FALSE)</f>
        <v>No data</v>
      </c>
      <c r="I18" s="28" t="str">
        <f t="shared" si="0"/>
        <v>No data</v>
      </c>
      <c r="J18" s="1" t="str">
        <f>VLOOKUP($A18,Calculator!$A:$AE,28,FALSE)</f>
        <v>No data</v>
      </c>
      <c r="K18" s="28" t="str">
        <f t="shared" si="1"/>
        <v>No data</v>
      </c>
      <c r="L18" s="28" t="str">
        <f t="shared" si="2"/>
        <v>No data</v>
      </c>
      <c r="M18" s="32">
        <f>VLOOKUP($A18,Calculator!$A:$AE,29,FALSE)</f>
        <v>1</v>
      </c>
      <c r="N18" s="28">
        <f t="shared" si="3"/>
        <v>100</v>
      </c>
      <c r="O18" s="1">
        <f>VLOOKUP($A18,Calculator!$A:$AE,30,FALSE)</f>
        <v>0.14991675291299597</v>
      </c>
      <c r="P18" s="28">
        <f t="shared" si="4"/>
        <v>99.660091218020455</v>
      </c>
      <c r="Q18" s="28">
        <f t="shared" si="5"/>
        <v>0.99830045609010232</v>
      </c>
      <c r="R18" s="32">
        <f>VLOOKUP($A18,Calculator!$A:$Z,24,FALSE)</f>
        <v>2</v>
      </c>
      <c r="S18" s="1">
        <f>VLOOKUP($A18,Calculator!$A:$Z,25,FALSE)</f>
        <v>7</v>
      </c>
      <c r="T18" s="1">
        <f>VLOOKUP($A18,Calculator!$A:$Z,26,FALSE)</f>
        <v>5</v>
      </c>
      <c r="U18" s="32">
        <f>IF(R18="No Data","No Data",R18/(5-IF(R18&lt;5,VLOOKUP($A18,'Data Gaps'!$A:$N,9,FALSE),0)))</f>
        <v>0.4</v>
      </c>
      <c r="V18" s="1">
        <f>IF(S18="No Data", "No Data",S18/(8-IF(S18&lt;8,VLOOKUP($A18,'Data Gaps'!$A:$N,10,FALSE),0)))</f>
        <v>0.875</v>
      </c>
      <c r="W18" s="1">
        <f>IF(T18="No Data","No Data",T18/(5-IF(T18&lt;5,VLOOKUP($A18,'Data Gaps'!$A:$N,11,FALSE),0)))</f>
        <v>1</v>
      </c>
      <c r="X18" s="40">
        <f t="shared" si="6"/>
        <v>81.832511402252564</v>
      </c>
    </row>
    <row r="19" spans="1:24" x14ac:dyDescent="0.35">
      <c r="A19" s="1" t="s">
        <v>94</v>
      </c>
      <c r="B19" s="28" t="s">
        <v>95</v>
      </c>
      <c r="C19" s="1" t="s">
        <v>12</v>
      </c>
      <c r="D19" s="1" t="s">
        <v>13</v>
      </c>
      <c r="E19" s="28" t="s">
        <v>18</v>
      </c>
      <c r="F19" s="28" t="s">
        <v>160</v>
      </c>
      <c r="G19" s="28" t="str">
        <f>VLOOKUP($A19,'EBA2017'!$A:$G,7,FALSE)</f>
        <v>One</v>
      </c>
      <c r="H19" s="32" t="str">
        <f>VLOOKUP($A19,Calculator!$A:$AE,27,FALSE)</f>
        <v>N/A</v>
      </c>
      <c r="I19" s="28">
        <f t="shared" si="0"/>
        <v>0</v>
      </c>
      <c r="J19" s="1" t="str">
        <f>VLOOKUP($A19,Calculator!$A:$AE,28,FALSE)</f>
        <v>N/A</v>
      </c>
      <c r="K19" s="28">
        <f t="shared" si="1"/>
        <v>0</v>
      </c>
      <c r="L19" s="28">
        <f t="shared" si="2"/>
        <v>0</v>
      </c>
      <c r="M19" s="32">
        <f>VLOOKUP($A19,Calculator!$A:$AE,29,FALSE)</f>
        <v>2</v>
      </c>
      <c r="N19" s="28">
        <f t="shared" si="3"/>
        <v>96.153846153846146</v>
      </c>
      <c r="O19" s="1">
        <f>VLOOKUP($A19,Calculator!$A:$AE,30,FALSE)</f>
        <v>4.6193914877301419</v>
      </c>
      <c r="P19" s="28">
        <f t="shared" si="4"/>
        <v>87.567938761163006</v>
      </c>
      <c r="Q19" s="28">
        <f t="shared" si="5"/>
        <v>0.91860892457504573</v>
      </c>
      <c r="R19" s="32">
        <f>VLOOKUP($A19,Calculator!$A:$Z,24,FALSE)</f>
        <v>3</v>
      </c>
      <c r="S19" s="1">
        <f>VLOOKUP($A19,Calculator!$A:$Z,25,FALSE)</f>
        <v>0.33333333333333326</v>
      </c>
      <c r="T19" s="1">
        <f>VLOOKUP($A19,Calculator!$A:$Z,26,FALSE)</f>
        <v>4</v>
      </c>
      <c r="U19" s="32">
        <f>IF(R19="No Data","No Data",R19/(5-IF(R19&lt;5,VLOOKUP($A19,'Data Gaps'!$A:$N,9,FALSE),0)))</f>
        <v>0.6</v>
      </c>
      <c r="V19" s="1">
        <f>IF(S19="No Data", "No Data",S19/(8-IF(S19&lt;8,VLOOKUP($A19,'Data Gaps'!$A:$N,10,FALSE),0)))</f>
        <v>4.1666666666666657E-2</v>
      </c>
      <c r="W19" s="1">
        <f>IF(T19="No Data","No Data",T19/(5-IF(T19&lt;5,VLOOKUP($A19,'Data Gaps'!$A:$N,11,FALSE),0)))</f>
        <v>0.8</v>
      </c>
      <c r="X19" s="40">
        <f t="shared" si="6"/>
        <v>47.205511824834254</v>
      </c>
    </row>
    <row r="20" spans="1:24" x14ac:dyDescent="0.35">
      <c r="A20" s="1" t="s">
        <v>104</v>
      </c>
      <c r="B20" s="28" t="s">
        <v>105</v>
      </c>
      <c r="C20" s="1" t="s">
        <v>21</v>
      </c>
      <c r="D20" s="1" t="s">
        <v>22</v>
      </c>
      <c r="E20" s="29" t="s">
        <v>25</v>
      </c>
      <c r="F20" s="28" t="s">
        <v>160</v>
      </c>
      <c r="G20" s="28" t="str">
        <f>VLOOKUP($A20,'EBA2017'!$A:$G,7,FALSE)</f>
        <v>One</v>
      </c>
      <c r="H20" s="32" t="str">
        <f>VLOOKUP($A20,Calculator!$A:$AE,27,FALSE)</f>
        <v>N/A</v>
      </c>
      <c r="I20" s="28">
        <f t="shared" si="0"/>
        <v>0</v>
      </c>
      <c r="J20" s="1" t="str">
        <f>VLOOKUP($A20,Calculator!$A:$AE,28,FALSE)</f>
        <v>N/A</v>
      </c>
      <c r="K20" s="28">
        <f t="shared" si="1"/>
        <v>0</v>
      </c>
      <c r="L20" s="28">
        <f t="shared" si="2"/>
        <v>0</v>
      </c>
      <c r="M20" s="32" t="str">
        <f>VLOOKUP($A20,Calculator!$A:$AE,29,FALSE)</f>
        <v>N/A</v>
      </c>
      <c r="N20" s="28">
        <f t="shared" si="3"/>
        <v>0</v>
      </c>
      <c r="O20" s="1" t="str">
        <f>VLOOKUP($A20,Calculator!$A:$AE,30,FALSE)</f>
        <v>N/A</v>
      </c>
      <c r="P20" s="28">
        <f t="shared" si="4"/>
        <v>0</v>
      </c>
      <c r="Q20" s="28">
        <f t="shared" si="5"/>
        <v>0</v>
      </c>
      <c r="R20" s="32">
        <f>VLOOKUP($A20,Calculator!$A:$Z,24,FALSE)</f>
        <v>0</v>
      </c>
      <c r="S20" s="1">
        <f>VLOOKUP($A20,Calculator!$A:$Z,25,FALSE)</f>
        <v>1</v>
      </c>
      <c r="T20" s="1">
        <f>VLOOKUP($A20,Calculator!$A:$Z,26,FALSE)</f>
        <v>4</v>
      </c>
      <c r="U20" s="32">
        <f>IF(R20="No Data","No Data",R20/(5-IF(R20&lt;5,VLOOKUP($A20,'Data Gaps'!$A:$N,9,FALSE),0)))</f>
        <v>0</v>
      </c>
      <c r="V20" s="1">
        <f>IF(S20="No Data", "No Data",S20/(8-IF(S20&lt;8,VLOOKUP($A20,'Data Gaps'!$A:$N,10,FALSE),0)))</f>
        <v>0.125</v>
      </c>
      <c r="W20" s="1">
        <f>IF(T20="No Data","No Data",T20/(5-IF(T20&lt;5,VLOOKUP($A20,'Data Gaps'!$A:$N,11,FALSE),0)))</f>
        <v>0.8</v>
      </c>
      <c r="X20" s="40">
        <f t="shared" si="6"/>
        <v>18.5</v>
      </c>
    </row>
    <row r="21" spans="1:24" x14ac:dyDescent="0.35">
      <c r="A21" s="1" t="s">
        <v>108</v>
      </c>
      <c r="B21" s="28" t="s">
        <v>109</v>
      </c>
      <c r="C21" s="1" t="s">
        <v>38</v>
      </c>
      <c r="D21" s="1" t="s">
        <v>39</v>
      </c>
      <c r="E21" s="29" t="s">
        <v>40</v>
      </c>
      <c r="F21" s="28" t="s">
        <v>162</v>
      </c>
      <c r="G21" s="28" t="str">
        <f>VLOOKUP($A21,'EBA2017'!$A:$G,7,FALSE)</f>
        <v>One</v>
      </c>
      <c r="H21" s="32">
        <f>VLOOKUP($A21,Calculator!$A:$AE,27,FALSE)</f>
        <v>60</v>
      </c>
      <c r="I21" s="28">
        <f t="shared" si="0"/>
        <v>79.640065442646801</v>
      </c>
      <c r="J21" s="1">
        <f>VLOOKUP($A21,Calculator!$A:$AE,28,FALSE)</f>
        <v>220.48660291409848</v>
      </c>
      <c r="K21" s="28">
        <f t="shared" si="1"/>
        <v>60.741600470655676</v>
      </c>
      <c r="L21" s="28">
        <f t="shared" si="2"/>
        <v>0.70190832956651239</v>
      </c>
      <c r="M21" s="32">
        <f>VLOOKUP($A21,Calculator!$A:$AE,29,FALSE)</f>
        <v>2</v>
      </c>
      <c r="N21" s="28">
        <f t="shared" si="3"/>
        <v>96.153846153846146</v>
      </c>
      <c r="O21" s="1">
        <f>VLOOKUP($A21,Calculator!$A:$AE,30,FALSE)</f>
        <v>0.43716982832179735</v>
      </c>
      <c r="P21" s="28">
        <f t="shared" si="4"/>
        <v>98.882928757634247</v>
      </c>
      <c r="Q21" s="28">
        <f t="shared" si="5"/>
        <v>0.97518387455740196</v>
      </c>
      <c r="R21" s="32">
        <f>VLOOKUP($A21,Calculator!$A:$Z,24,FALSE)</f>
        <v>5</v>
      </c>
      <c r="S21" s="1">
        <f>VLOOKUP($A21,Calculator!$A:$Z,25,FALSE)</f>
        <v>7</v>
      </c>
      <c r="T21" s="1">
        <f>VLOOKUP($A21,Calculator!$A:$Z,26,FALSE)</f>
        <v>5</v>
      </c>
      <c r="U21" s="32">
        <f>IF(R21="No Data","No Data",R21/(5-IF(R21&lt;5,VLOOKUP($A21,'Data Gaps'!$A:$N,9,FALSE),0)))</f>
        <v>1</v>
      </c>
      <c r="V21" s="1">
        <f>IF(S21="No Data", "No Data",S21/(8-IF(S21&lt;8,VLOOKUP($A21,'Data Gaps'!$A:$N,10,FALSE),0)))</f>
        <v>0.875</v>
      </c>
      <c r="W21" s="1">
        <f>IF(T21="No Data","No Data",T21/(5-IF(T21&lt;5,VLOOKUP($A21,'Data Gaps'!$A:$N,11,FALSE),0)))</f>
        <v>1</v>
      </c>
      <c r="X21" s="40">
        <f t="shared" si="6"/>
        <v>91.041844082478292</v>
      </c>
    </row>
    <row r="22" spans="1:24" x14ac:dyDescent="0.35">
      <c r="A22" s="1" t="s">
        <v>110</v>
      </c>
      <c r="B22" s="28" t="s">
        <v>111</v>
      </c>
      <c r="C22" s="1" t="s">
        <v>7</v>
      </c>
      <c r="D22" s="1" t="s">
        <v>8</v>
      </c>
      <c r="E22" s="29" t="s">
        <v>25</v>
      </c>
      <c r="F22" s="28" t="s">
        <v>162</v>
      </c>
      <c r="G22" s="28" t="str">
        <f>VLOOKUP($A22,'EBA2017'!$A:$G,7,FALSE)</f>
        <v>One</v>
      </c>
      <c r="H22" s="32">
        <f>VLOOKUP($A22,Calculator!$A:$AE,27,FALSE)</f>
        <v>30</v>
      </c>
      <c r="I22" s="28">
        <f t="shared" si="0"/>
        <v>90.547173241228876</v>
      </c>
      <c r="J22" s="1">
        <f>VLOOKUP($A22,Calculator!$A:$AE,28,FALSE)</f>
        <v>7.7053020092208628</v>
      </c>
      <c r="K22" s="28">
        <f t="shared" si="1"/>
        <v>98.707893870406167</v>
      </c>
      <c r="L22" s="28">
        <f t="shared" si="2"/>
        <v>0.94627533555817522</v>
      </c>
      <c r="M22" s="32">
        <f>VLOOKUP($A22,Calculator!$A:$AE,29,FALSE)</f>
        <v>30</v>
      </c>
      <c r="N22" s="28">
        <f t="shared" si="3"/>
        <v>0</v>
      </c>
      <c r="O22" s="1">
        <f>VLOOKUP($A22,Calculator!$A:$AE,30,FALSE)</f>
        <v>0.42723877602344446</v>
      </c>
      <c r="P22" s="28">
        <f t="shared" si="4"/>
        <v>98.909797194212103</v>
      </c>
      <c r="Q22" s="28">
        <f t="shared" si="5"/>
        <v>0.49454898597106051</v>
      </c>
      <c r="R22" s="32">
        <f>VLOOKUP($A22,Calculator!$A:$Z,24,FALSE)</f>
        <v>5</v>
      </c>
      <c r="S22" s="1">
        <f>VLOOKUP($A22,Calculator!$A:$Z,25,FALSE)</f>
        <v>8</v>
      </c>
      <c r="T22" s="1">
        <f>VLOOKUP($A22,Calculator!$A:$Z,26,FALSE)</f>
        <v>5</v>
      </c>
      <c r="U22" s="32">
        <f>IF(R22="No Data","No Data",R22/(5-IF(R22&lt;5,VLOOKUP($A22,'Data Gaps'!$A:$N,9,FALSE),0)))</f>
        <v>1</v>
      </c>
      <c r="V22" s="1">
        <f>IF(S22="No Data", "No Data",S22/(8-IF(S22&lt;8,VLOOKUP($A22,'Data Gaps'!$A:$N,10,FALSE),0)))</f>
        <v>1</v>
      </c>
      <c r="W22" s="1">
        <f>IF(T22="No Data","No Data",T22/(5-IF(T22&lt;5,VLOOKUP($A22,'Data Gaps'!$A:$N,11,FALSE),0)))</f>
        <v>1</v>
      </c>
      <c r="X22" s="40">
        <f t="shared" si="6"/>
        <v>88.816486430584732</v>
      </c>
    </row>
    <row r="23" spans="1:24" x14ac:dyDescent="0.35">
      <c r="A23" s="1" t="s">
        <v>112</v>
      </c>
      <c r="B23" s="28" t="s">
        <v>113</v>
      </c>
      <c r="C23" s="1" t="s">
        <v>7</v>
      </c>
      <c r="D23" s="1" t="s">
        <v>8</v>
      </c>
      <c r="E23" s="29" t="s">
        <v>25</v>
      </c>
      <c r="F23" s="28" t="s">
        <v>162</v>
      </c>
      <c r="G23" s="28" t="str">
        <f>VLOOKUP($A23,'EBA2017'!$A:$G,7,FALSE)</f>
        <v>One</v>
      </c>
      <c r="H23" s="32">
        <f>VLOOKUP($A23,Calculator!$A:$AE,27,FALSE)</f>
        <v>189</v>
      </c>
      <c r="I23" s="28">
        <f t="shared" si="0"/>
        <v>32.739501908743897</v>
      </c>
      <c r="J23" s="1">
        <f>VLOOKUP($A23,Calculator!$A:$AE,28,FALSE)</f>
        <v>558.6251567345256</v>
      </c>
      <c r="K23" s="28">
        <f t="shared" si="1"/>
        <v>0.40797392772588442</v>
      </c>
      <c r="L23" s="28">
        <f t="shared" si="2"/>
        <v>0.1657373791823489</v>
      </c>
      <c r="M23" s="32">
        <f>VLOOKUP($A23,Calculator!$A:$AE,29,FALSE)</f>
        <v>5</v>
      </c>
      <c r="N23" s="28">
        <f t="shared" si="3"/>
        <v>84.615384615384599</v>
      </c>
      <c r="O23" s="1">
        <f>VLOOKUP($A23,Calculator!$A:$AE,30,FALSE)</f>
        <v>0.43758970610871162</v>
      </c>
      <c r="P23" s="28">
        <f t="shared" si="4"/>
        <v>98.881792779356303</v>
      </c>
      <c r="Q23" s="28">
        <f t="shared" si="5"/>
        <v>0.91748588697370448</v>
      </c>
      <c r="R23" s="32">
        <f>VLOOKUP($A23,Calculator!$A:$Z,24,FALSE)</f>
        <v>3</v>
      </c>
      <c r="S23" s="1">
        <f>VLOOKUP($A23,Calculator!$A:$Z,25,FALSE)</f>
        <v>6.1666666666666661</v>
      </c>
      <c r="T23" s="1">
        <f>VLOOKUP($A23,Calculator!$A:$Z,26,FALSE)</f>
        <v>5</v>
      </c>
      <c r="U23" s="32">
        <f>IF(R23="No Data","No Data",R23/(5-IF(R23&lt;5,VLOOKUP($A23,'Data Gaps'!$A:$N,9,FALSE),0)))</f>
        <v>0.6</v>
      </c>
      <c r="V23" s="1">
        <f>IF(S23="No Data", "No Data",S23/(8-IF(S23&lt;8,VLOOKUP($A23,'Data Gaps'!$A:$N,10,FALSE),0)))</f>
        <v>0.77083333333333326</v>
      </c>
      <c r="W23" s="1">
        <f>IF(T23="No Data","No Data",T23/(5-IF(T23&lt;5,VLOOKUP($A23,'Data Gaps'!$A:$N,11,FALSE),0)))</f>
        <v>1</v>
      </c>
      <c r="X23" s="40">
        <f t="shared" si="6"/>
        <v>69.081131989787735</v>
      </c>
    </row>
    <row r="24" spans="1:24" x14ac:dyDescent="0.35">
      <c r="A24" s="1" t="s">
        <v>114</v>
      </c>
      <c r="B24" s="28" t="s">
        <v>115</v>
      </c>
      <c r="C24" s="1" t="s">
        <v>16</v>
      </c>
      <c r="D24" s="1" t="s">
        <v>17</v>
      </c>
      <c r="E24" s="29" t="s">
        <v>18</v>
      </c>
      <c r="F24" s="28" t="s">
        <v>160</v>
      </c>
      <c r="G24" s="28" t="str">
        <f>VLOOKUP($A24,'EBA2017'!$A:$G,7,FALSE)</f>
        <v>One</v>
      </c>
      <c r="H24" s="32" t="str">
        <f>VLOOKUP($A24,Calculator!$A:$AE,27,FALSE)</f>
        <v>N/A</v>
      </c>
      <c r="I24" s="28">
        <f t="shared" si="0"/>
        <v>0</v>
      </c>
      <c r="J24" s="1" t="str">
        <f>VLOOKUP($A24,Calculator!$A:$AE,28,FALSE)</f>
        <v>N/A</v>
      </c>
      <c r="K24" s="28">
        <f t="shared" si="1"/>
        <v>0</v>
      </c>
      <c r="L24" s="28">
        <f t="shared" si="2"/>
        <v>0</v>
      </c>
      <c r="M24" s="32">
        <f>VLOOKUP($A24,Calculator!$A:$AE,29,FALSE)</f>
        <v>2</v>
      </c>
      <c r="N24" s="28">
        <f t="shared" si="3"/>
        <v>96.153846153846146</v>
      </c>
      <c r="O24" s="1">
        <f>VLOOKUP($A24,Calculator!$A:$AE,30,FALSE)</f>
        <v>153.71623230068886</v>
      </c>
      <c r="P24" s="28">
        <f t="shared" si="4"/>
        <v>0</v>
      </c>
      <c r="Q24" s="28">
        <f t="shared" si="5"/>
        <v>0.48076923076923073</v>
      </c>
      <c r="R24" s="32">
        <f>VLOOKUP($A24,Calculator!$A:$Z,24,FALSE)</f>
        <v>2.5</v>
      </c>
      <c r="S24" s="1">
        <f>VLOOKUP($A24,Calculator!$A:$Z,25,FALSE)</f>
        <v>1.5</v>
      </c>
      <c r="T24" s="1">
        <f>VLOOKUP($A24,Calculator!$A:$Z,26,FALSE)</f>
        <v>5</v>
      </c>
      <c r="U24" s="32">
        <f>IF(R24="No Data","No Data",R24/(5-IF(R24&lt;5,VLOOKUP($A24,'Data Gaps'!$A:$N,9,FALSE),0)))</f>
        <v>0.5</v>
      </c>
      <c r="V24" s="1">
        <f>IF(S24="No Data", "No Data",S24/(8-IF(S24&lt;8,VLOOKUP($A24,'Data Gaps'!$A:$N,10,FALSE),0)))</f>
        <v>0.1875</v>
      </c>
      <c r="W24" s="1">
        <f>IF(T24="No Data","No Data",T24/(5-IF(T24&lt;5,VLOOKUP($A24,'Data Gaps'!$A:$N,11,FALSE),0)))</f>
        <v>1</v>
      </c>
      <c r="X24" s="40">
        <f t="shared" si="6"/>
        <v>43.365384615384613</v>
      </c>
    </row>
    <row r="25" spans="1:24" x14ac:dyDescent="0.35">
      <c r="A25" s="1" t="s">
        <v>116</v>
      </c>
      <c r="B25" s="28" t="s">
        <v>117</v>
      </c>
      <c r="C25" s="1" t="s">
        <v>16</v>
      </c>
      <c r="D25" s="1" t="s">
        <v>17</v>
      </c>
      <c r="E25" s="29" t="s">
        <v>18</v>
      </c>
      <c r="F25" s="28" t="s">
        <v>162</v>
      </c>
      <c r="G25" s="28" t="str">
        <f>VLOOKUP($A25,'EBA2017'!$A:$G,7,FALSE)</f>
        <v>One</v>
      </c>
      <c r="H25" s="32" t="str">
        <f>VLOOKUP($A25,Calculator!$A:$AE,27,FALSE)</f>
        <v>N/A</v>
      </c>
      <c r="I25" s="28">
        <f t="shared" si="0"/>
        <v>0</v>
      </c>
      <c r="J25" s="1" t="str">
        <f>VLOOKUP($A25,Calculator!$A:$AE,28,FALSE)</f>
        <v>N/A</v>
      </c>
      <c r="K25" s="28">
        <f t="shared" si="1"/>
        <v>0</v>
      </c>
      <c r="L25" s="28">
        <f t="shared" si="2"/>
        <v>0</v>
      </c>
      <c r="M25" s="32">
        <f>VLOOKUP($A25,Calculator!$A:$AE,29,FALSE)</f>
        <v>5</v>
      </c>
      <c r="N25" s="28">
        <f t="shared" si="3"/>
        <v>84.615384615384599</v>
      </c>
      <c r="O25" s="1">
        <f>VLOOKUP($A25,Calculator!$A:$AE,30,FALSE)</f>
        <v>0.56527409461025246</v>
      </c>
      <c r="P25" s="28">
        <f t="shared" si="4"/>
        <v>98.536342993032719</v>
      </c>
      <c r="Q25" s="28">
        <f t="shared" si="5"/>
        <v>0.91575863804208668</v>
      </c>
      <c r="R25" s="32">
        <f>VLOOKUP($A25,Calculator!$A:$Z,24,FALSE)</f>
        <v>1</v>
      </c>
      <c r="S25" s="1">
        <f>VLOOKUP($A25,Calculator!$A:$Z,25,FALSE)</f>
        <v>0.33333333333333326</v>
      </c>
      <c r="T25" s="1">
        <f>VLOOKUP($A25,Calculator!$A:$Z,26,FALSE)</f>
        <v>0.5</v>
      </c>
      <c r="U25" s="32">
        <f>IF(R25="No Data","No Data",R25/(5-IF(R25&lt;5,VLOOKUP($A25,'Data Gaps'!$A:$N,9,FALSE),0)))</f>
        <v>0.2</v>
      </c>
      <c r="V25" s="1">
        <f>IF(S25="No Data", "No Data",S25/(8-IF(S25&lt;8,VLOOKUP($A25,'Data Gaps'!$A:$N,10,FALSE),0)))</f>
        <v>4.1666666666666657E-2</v>
      </c>
      <c r="W25" s="1">
        <f>IF(T25="No Data","No Data",T25/(5-IF(T25&lt;5,VLOOKUP($A25,'Data Gaps'!$A:$N,11,FALSE),0)))</f>
        <v>0.1</v>
      </c>
      <c r="X25" s="40">
        <f t="shared" si="6"/>
        <v>25.148506094175072</v>
      </c>
    </row>
    <row r="26" spans="1:24" x14ac:dyDescent="0.35">
      <c r="A26" s="1" t="s">
        <v>118</v>
      </c>
      <c r="B26" s="28" t="s">
        <v>119</v>
      </c>
      <c r="C26" s="1" t="s">
        <v>7</v>
      </c>
      <c r="D26" s="1" t="s">
        <v>8</v>
      </c>
      <c r="E26" s="29" t="s">
        <v>25</v>
      </c>
      <c r="F26" s="28" t="s">
        <v>162</v>
      </c>
      <c r="G26" s="28" t="str">
        <f>VLOOKUP($A26,'EBA2017'!$A:$G,7,FALSE)</f>
        <v>One</v>
      </c>
      <c r="H26" s="32">
        <f>VLOOKUP($A26,Calculator!$A:$AE,27,FALSE)</f>
        <v>30</v>
      </c>
      <c r="I26" s="28">
        <f t="shared" si="0"/>
        <v>90.547173241228876</v>
      </c>
      <c r="J26" s="1">
        <f>VLOOKUP($A26,Calculator!$A:$AE,28,FALSE)</f>
        <v>2.6715201057263527</v>
      </c>
      <c r="K26" s="28">
        <f t="shared" si="1"/>
        <v>99.606065090554239</v>
      </c>
      <c r="L26" s="28">
        <f t="shared" si="2"/>
        <v>0.95076619165891563</v>
      </c>
      <c r="M26" s="32">
        <f>VLOOKUP($A26,Calculator!$A:$AE,29,FALSE)</f>
        <v>2</v>
      </c>
      <c r="N26" s="28">
        <f t="shared" si="3"/>
        <v>96.153846153846146</v>
      </c>
      <c r="O26" s="1">
        <f>VLOOKUP($A26,Calculator!$A:$AE,30,FALSE)</f>
        <v>5.6400846707804781</v>
      </c>
      <c r="P26" s="28">
        <f t="shared" si="4"/>
        <v>84.806455966557905</v>
      </c>
      <c r="Q26" s="28">
        <f t="shared" si="5"/>
        <v>0.90480151060202019</v>
      </c>
      <c r="R26" s="32">
        <f>VLOOKUP($A26,Calculator!$A:$Z,24,FALSE)</f>
        <v>3</v>
      </c>
      <c r="S26" s="1">
        <f>VLOOKUP($A26,Calculator!$A:$Z,25,FALSE)</f>
        <v>8</v>
      </c>
      <c r="T26" s="1">
        <f>VLOOKUP($A26,Calculator!$A:$Z,26,FALSE)</f>
        <v>5</v>
      </c>
      <c r="U26" s="32">
        <f>IF(R26="No Data","No Data",R26/(5-IF(R26&lt;5,VLOOKUP($A26,'Data Gaps'!$A:$N,9,FALSE),0)))</f>
        <v>0.6</v>
      </c>
      <c r="V26" s="1">
        <f>IF(S26="No Data", "No Data",S26/(8-IF(S26&lt;8,VLOOKUP($A26,'Data Gaps'!$A:$N,10,FALSE),0)))</f>
        <v>1</v>
      </c>
      <c r="W26" s="1">
        <f>IF(T26="No Data","No Data",T26/(5-IF(T26&lt;5,VLOOKUP($A26,'Data Gaps'!$A:$N,11,FALSE),0)))</f>
        <v>1</v>
      </c>
      <c r="X26" s="40">
        <f t="shared" si="6"/>
        <v>89.111354045218718</v>
      </c>
    </row>
    <row r="27" spans="1:24" x14ac:dyDescent="0.35">
      <c r="A27" s="1" t="s">
        <v>126</v>
      </c>
      <c r="B27" s="28" t="s">
        <v>127</v>
      </c>
      <c r="C27" s="1" t="s">
        <v>7</v>
      </c>
      <c r="D27" s="1" t="s">
        <v>8</v>
      </c>
      <c r="E27" s="29" t="s">
        <v>9</v>
      </c>
      <c r="F27" s="28" t="s">
        <v>159</v>
      </c>
      <c r="G27" s="28" t="str">
        <f>VLOOKUP($A27,'EBA2017'!$A:$G,7,FALSE)</f>
        <v>One</v>
      </c>
      <c r="H27" s="32" t="str">
        <f>VLOOKUP($A27,Calculator!$A:$AE,27,FALSE)</f>
        <v>No practice</v>
      </c>
      <c r="I27" s="28">
        <f t="shared" si="0"/>
        <v>0</v>
      </c>
      <c r="J27" s="1" t="str">
        <f>VLOOKUP($A27,Calculator!$A:$AE,28,FALSE)</f>
        <v>No practice</v>
      </c>
      <c r="K27" s="28">
        <f t="shared" si="1"/>
        <v>0</v>
      </c>
      <c r="L27" s="28">
        <f t="shared" si="2"/>
        <v>0</v>
      </c>
      <c r="M27" s="32">
        <f>VLOOKUP($A27,Calculator!$A:$AE,29,FALSE)</f>
        <v>10</v>
      </c>
      <c r="N27" s="28">
        <f t="shared" si="3"/>
        <v>65.38461538461533</v>
      </c>
      <c r="O27" s="1">
        <f>VLOOKUP($A27,Calculator!$A:$AE,30,FALSE)</f>
        <v>1.4636959544561556</v>
      </c>
      <c r="P27" s="28">
        <f t="shared" si="4"/>
        <v>96.105664950442886</v>
      </c>
      <c r="Q27" s="28">
        <f t="shared" si="5"/>
        <v>0.80745140167529117</v>
      </c>
      <c r="R27" s="32">
        <f>VLOOKUP($A27,Calculator!$A:$Z,24,FALSE)</f>
        <v>3</v>
      </c>
      <c r="S27" s="1">
        <f>VLOOKUP($A27,Calculator!$A:$Z,25,FALSE)</f>
        <v>4</v>
      </c>
      <c r="T27" s="1">
        <f>VLOOKUP($A27,Calculator!$A:$Z,26,FALSE)</f>
        <v>5</v>
      </c>
      <c r="U27" s="32">
        <f>IF(R27="No Data","No Data",R27/(5-IF(R27&lt;5,VLOOKUP($A27,'Data Gaps'!$A:$N,9,FALSE),0)))</f>
        <v>0.6</v>
      </c>
      <c r="V27" s="1">
        <f>IF(S27="No Data", "No Data",S27/(8-IF(S27&lt;8,VLOOKUP($A27,'Data Gaps'!$A:$N,10,FALSE),0)))</f>
        <v>0.5</v>
      </c>
      <c r="W27" s="1">
        <f>IF(T27="No Data","No Data",T27/(5-IF(T27&lt;5,VLOOKUP($A27,'Data Gaps'!$A:$N,11,FALSE),0)))</f>
        <v>1</v>
      </c>
      <c r="X27" s="40">
        <f t="shared" si="6"/>
        <v>58.149028033505822</v>
      </c>
    </row>
    <row r="28" spans="1:24" x14ac:dyDescent="0.35">
      <c r="A28" s="1" t="s">
        <v>132</v>
      </c>
      <c r="B28" s="28" t="s">
        <v>133</v>
      </c>
      <c r="C28" s="1" t="s">
        <v>7</v>
      </c>
      <c r="D28" s="1" t="s">
        <v>8</v>
      </c>
      <c r="E28" s="28" t="s">
        <v>25</v>
      </c>
      <c r="F28" s="28" t="s">
        <v>159</v>
      </c>
      <c r="G28" s="28" t="str">
        <f>VLOOKUP($A28,'EBA2017'!$A:$G,7,FALSE)</f>
        <v>One</v>
      </c>
      <c r="H28" s="32">
        <f>VLOOKUP($A28,Calculator!$A:$AE,27,FALSE)</f>
        <v>90</v>
      </c>
      <c r="I28" s="28">
        <f t="shared" si="0"/>
        <v>68.732957644064726</v>
      </c>
      <c r="J28" s="1">
        <f>VLOOKUP($A28,Calculator!$A:$AE,28,FALSE)</f>
        <v>102.0586762895648</v>
      </c>
      <c r="K28" s="28">
        <f t="shared" si="1"/>
        <v>81.872542850602841</v>
      </c>
      <c r="L28" s="28">
        <f t="shared" si="2"/>
        <v>0.75302750247333794</v>
      </c>
      <c r="M28" s="32">
        <f>VLOOKUP($A28,Calculator!$A:$AE,29,FALSE)</f>
        <v>2</v>
      </c>
      <c r="N28" s="28">
        <f t="shared" si="3"/>
        <v>96.153846153846146</v>
      </c>
      <c r="O28" s="1">
        <f>VLOOKUP($A28,Calculator!$A:$AE,30,FALSE)</f>
        <v>2.4494082309495546</v>
      </c>
      <c r="P28" s="28">
        <f t="shared" si="4"/>
        <v>93.438822909005125</v>
      </c>
      <c r="Q28" s="28">
        <f t="shared" si="5"/>
        <v>0.9479633453142563</v>
      </c>
      <c r="R28" s="32">
        <f>VLOOKUP($A28,Calculator!$A:$Z,24,FALSE)</f>
        <v>4.5</v>
      </c>
      <c r="S28" s="1">
        <f>VLOOKUP($A28,Calculator!$A:$Z,25,FALSE)</f>
        <v>6.6666666666666661</v>
      </c>
      <c r="T28" s="1">
        <f>VLOOKUP($A28,Calculator!$A:$Z,26,FALSE)</f>
        <v>5</v>
      </c>
      <c r="U28" s="32">
        <f>IF(R28="No Data","No Data",R28/(5-IF(R28&lt;5,VLOOKUP($A28,'Data Gaps'!$A:$N,9,FALSE),0)))</f>
        <v>0.9</v>
      </c>
      <c r="V28" s="1">
        <f>IF(S28="No Data", "No Data",S28/(8-IF(S28&lt;8,VLOOKUP($A28,'Data Gaps'!$A:$N,10,FALSE),0)))</f>
        <v>0.83333333333333326</v>
      </c>
      <c r="W28" s="1">
        <f>IF(T28="No Data","No Data",T28/(5-IF(T28&lt;5,VLOOKUP($A28,'Data Gaps'!$A:$N,11,FALSE),0)))</f>
        <v>1</v>
      </c>
      <c r="X28" s="40">
        <f t="shared" si="6"/>
        <v>88.68648362241855</v>
      </c>
    </row>
    <row r="29" spans="1:24" x14ac:dyDescent="0.35">
      <c r="A29" s="1" t="s">
        <v>136</v>
      </c>
      <c r="B29" s="28" t="s">
        <v>137</v>
      </c>
      <c r="C29" s="1" t="s">
        <v>7</v>
      </c>
      <c r="D29" s="1" t="s">
        <v>8</v>
      </c>
      <c r="E29" s="28" t="s">
        <v>9</v>
      </c>
      <c r="F29" s="28" t="s">
        <v>162</v>
      </c>
      <c r="G29" s="28" t="str">
        <f>VLOOKUP($A29,'EBA2017'!$A:$G,7,FALSE)</f>
        <v>One</v>
      </c>
      <c r="H29" s="32" t="str">
        <f>VLOOKUP($A29,Calculator!$A:$AE,27,FALSE)</f>
        <v>No data</v>
      </c>
      <c r="I29" s="28" t="str">
        <f t="shared" si="0"/>
        <v>No data</v>
      </c>
      <c r="J29" s="1">
        <f>VLOOKUP($A29,Calculator!$A:$AE,28,FALSE)</f>
        <v>219.68123556245683</v>
      </c>
      <c r="K29" s="28">
        <f t="shared" si="1"/>
        <v>60.88530112967495</v>
      </c>
      <c r="L29" s="28">
        <f t="shared" si="2"/>
        <v>0.60885301129674951</v>
      </c>
      <c r="M29" s="32">
        <f>VLOOKUP($A29,Calculator!$A:$AE,29,FALSE)</f>
        <v>6</v>
      </c>
      <c r="N29" s="28">
        <f t="shared" si="3"/>
        <v>80.769230769230731</v>
      </c>
      <c r="O29" s="1">
        <f>VLOOKUP($A29,Calculator!$A:$AE,30,FALSE)</f>
        <v>2.1968123556245684</v>
      </c>
      <c r="P29" s="28">
        <f t="shared" si="4"/>
        <v>94.122220403258581</v>
      </c>
      <c r="Q29" s="28">
        <f t="shared" si="5"/>
        <v>0.8744572558624466</v>
      </c>
      <c r="R29" s="32">
        <f>VLOOKUP($A29,Calculator!$A:$Z,24,FALSE)</f>
        <v>0.5</v>
      </c>
      <c r="S29" s="1">
        <f>VLOOKUP($A29,Calculator!$A:$Z,25,FALSE)</f>
        <v>4.8333333333333339</v>
      </c>
      <c r="T29" s="1">
        <f>VLOOKUP($A29,Calculator!$A:$Z,26,FALSE)</f>
        <v>5</v>
      </c>
      <c r="U29" s="32">
        <f>IF(R29="No Data","No Data",R29/(5-IF(R29&lt;5,VLOOKUP($A29,'Data Gaps'!$A:$N,9,FALSE),0)))</f>
        <v>0.1</v>
      </c>
      <c r="V29" s="1">
        <f>IF(S29="No Data", "No Data",S29/(8-IF(S29&lt;8,VLOOKUP($A29,'Data Gaps'!$A:$N,10,FALSE),0)))</f>
        <v>0.60416666666666674</v>
      </c>
      <c r="W29" s="1">
        <f>IF(T29="No Data","No Data",T29/(5-IF(T29&lt;5,VLOOKUP($A29,'Data Gaps'!$A:$N,11,FALSE),0)))</f>
        <v>1</v>
      </c>
      <c r="X29" s="40">
        <f t="shared" si="6"/>
        <v>63.749538676517261</v>
      </c>
    </row>
    <row r="30" spans="1:24" x14ac:dyDescent="0.35">
      <c r="A30" s="1" t="s">
        <v>28</v>
      </c>
      <c r="B30" s="28" t="s">
        <v>29</v>
      </c>
      <c r="C30" s="1" t="s">
        <v>16</v>
      </c>
      <c r="D30" s="1" t="s">
        <v>17</v>
      </c>
      <c r="E30" s="29" t="s">
        <v>18</v>
      </c>
      <c r="F30" s="28" t="s">
        <v>160</v>
      </c>
      <c r="G30" s="28" t="str">
        <f>VLOOKUP($A30,'EBA2017'!$A:$G,7,FALSE)</f>
        <v>Two</v>
      </c>
      <c r="H30" s="32" t="str">
        <f>VLOOKUP($A30,Calculator!$A:$AE,27,FALSE)</f>
        <v>N/A</v>
      </c>
      <c r="I30" s="28">
        <f t="shared" si="0"/>
        <v>0</v>
      </c>
      <c r="J30" s="1" t="str">
        <f>VLOOKUP($A30,Calculator!$A:$AE,28,FALSE)</f>
        <v>N/A</v>
      </c>
      <c r="K30" s="28">
        <f t="shared" si="1"/>
        <v>0</v>
      </c>
      <c r="L30" s="28">
        <f t="shared" si="2"/>
        <v>0</v>
      </c>
      <c r="M30" s="32" t="str">
        <f>VLOOKUP($A30,Calculator!$A:$AE,29,FALSE)</f>
        <v>No practice</v>
      </c>
      <c r="N30" s="28">
        <f t="shared" si="3"/>
        <v>0</v>
      </c>
      <c r="O30" s="1" t="str">
        <f>VLOOKUP($A30,Calculator!$A:$AE,30,FALSE)</f>
        <v>No practice</v>
      </c>
      <c r="P30" s="28">
        <f t="shared" si="4"/>
        <v>0</v>
      </c>
      <c r="Q30" s="28">
        <f t="shared" si="5"/>
        <v>0</v>
      </c>
      <c r="R30" s="32">
        <f>VLOOKUP($A30,Calculator!$A:$Z,24,FALSE)</f>
        <v>2.5</v>
      </c>
      <c r="S30" s="1">
        <f>VLOOKUP($A30,Calculator!$A:$Z,25,FALSE)</f>
        <v>0</v>
      </c>
      <c r="T30" s="1">
        <f>VLOOKUP($A30,Calculator!$A:$Z,26,FALSE)</f>
        <v>5</v>
      </c>
      <c r="U30" s="32">
        <f>IF(R30="No Data","No Data",R30/(5-IF(R30&lt;5,VLOOKUP($A30,'Data Gaps'!$A:$N,9,FALSE),0)))</f>
        <v>0.5</v>
      </c>
      <c r="V30" s="1">
        <f>IF(S30="No Data", "No Data",S30/(8-IF(S30&lt;8,VLOOKUP($A30,'Data Gaps'!$A:$N,10,FALSE),0)))</f>
        <v>0</v>
      </c>
      <c r="W30" s="1">
        <f>IF(T30="No Data","No Data",T30/(5-IF(T30&lt;5,VLOOKUP($A30,'Data Gaps'!$A:$N,11,FALSE),0)))</f>
        <v>1</v>
      </c>
      <c r="X30" s="40">
        <f t="shared" si="6"/>
        <v>30</v>
      </c>
    </row>
    <row r="31" spans="1:24" x14ac:dyDescent="0.35">
      <c r="A31" s="1" t="s">
        <v>14</v>
      </c>
      <c r="B31" s="28" t="s">
        <v>15</v>
      </c>
      <c r="C31" s="1" t="s">
        <v>16</v>
      </c>
      <c r="D31" s="1" t="s">
        <v>17</v>
      </c>
      <c r="E31" s="29" t="s">
        <v>18</v>
      </c>
      <c r="F31" s="28" t="s">
        <v>159</v>
      </c>
      <c r="G31" s="28" t="str">
        <f>VLOOKUP($A31,'EBA2017'!$A:$G,7,FALSE)</f>
        <v>Two</v>
      </c>
      <c r="H31" s="32" t="str">
        <f>VLOOKUP($A31,Calculator!$A:$AE,27,FALSE)</f>
        <v>N/A</v>
      </c>
      <c r="I31" s="28">
        <f t="shared" si="0"/>
        <v>0</v>
      </c>
      <c r="J31" s="1" t="str">
        <f>VLOOKUP($A31,Calculator!$A:$AE,28,FALSE)</f>
        <v>N/A</v>
      </c>
      <c r="K31" s="28">
        <f t="shared" si="1"/>
        <v>0</v>
      </c>
      <c r="L31" s="28">
        <f t="shared" si="2"/>
        <v>0</v>
      </c>
      <c r="M31" s="32" t="str">
        <f>VLOOKUP($A31,Calculator!$A:$AE,29,FALSE)</f>
        <v>N/A</v>
      </c>
      <c r="N31" s="28">
        <f t="shared" si="3"/>
        <v>0</v>
      </c>
      <c r="O31" s="1" t="str">
        <f>VLOOKUP($A31,Calculator!$A:$AE,30,FALSE)</f>
        <v>N/A</v>
      </c>
      <c r="P31" s="28">
        <f t="shared" si="4"/>
        <v>0</v>
      </c>
      <c r="Q31" s="28">
        <f t="shared" si="5"/>
        <v>0</v>
      </c>
      <c r="R31" s="32">
        <f>VLOOKUP($A31,Calculator!$A:$Z,24,FALSE)</f>
        <v>0</v>
      </c>
      <c r="S31" s="1">
        <f>VLOOKUP($A31,Calculator!$A:$Z,25,FALSE)</f>
        <v>2.3333333333333335</v>
      </c>
      <c r="T31" s="1">
        <f>VLOOKUP($A31,Calculator!$A:$Z,26,FALSE)</f>
        <v>5</v>
      </c>
      <c r="U31" s="32">
        <f>IF(R31="No Data","No Data",R31/(5-IF(R31&lt;5,VLOOKUP($A31,'Data Gaps'!$A:$N,9,FALSE),0)))</f>
        <v>0</v>
      </c>
      <c r="V31" s="1">
        <f>IF(S31="No Data", "No Data",S31/(8-IF(S31&lt;8,VLOOKUP($A31,'Data Gaps'!$A:$N,10,FALSE),0)))</f>
        <v>0.29166666666666669</v>
      </c>
      <c r="W31" s="1">
        <f>IF(T31="No Data","No Data",T31/(5-IF(T31&lt;5,VLOOKUP($A31,'Data Gaps'!$A:$N,11,FALSE),0)))</f>
        <v>1</v>
      </c>
      <c r="X31" s="40">
        <f t="shared" si="6"/>
        <v>25.833333333333336</v>
      </c>
    </row>
    <row r="32" spans="1:24" x14ac:dyDescent="0.35">
      <c r="A32" s="1" t="s">
        <v>26</v>
      </c>
      <c r="B32" s="28" t="s">
        <v>27</v>
      </c>
      <c r="C32" s="1" t="s">
        <v>16</v>
      </c>
      <c r="D32" s="1" t="s">
        <v>17</v>
      </c>
      <c r="E32" s="29" t="s">
        <v>18</v>
      </c>
      <c r="F32" s="28" t="s">
        <v>159</v>
      </c>
      <c r="G32" s="28" t="str">
        <f>VLOOKUP($A32,'EBA2017'!$A:$G,7,FALSE)</f>
        <v>Two</v>
      </c>
      <c r="H32" s="32">
        <f>VLOOKUP($A32,Calculator!$A:$AE,27,FALSE)</f>
        <v>4</v>
      </c>
      <c r="I32" s="28">
        <f t="shared" si="0"/>
        <v>100</v>
      </c>
      <c r="J32" s="1">
        <f>VLOOKUP($A32,Calculator!$A:$AE,28,FALSE)</f>
        <v>11.102716600915983</v>
      </c>
      <c r="K32" s="28">
        <f t="shared" si="1"/>
        <v>98.101697561612326</v>
      </c>
      <c r="L32" s="28">
        <f t="shared" si="2"/>
        <v>0.99050848780806167</v>
      </c>
      <c r="M32" s="32">
        <f>VLOOKUP($A32,Calculator!$A:$AE,29,FALSE)</f>
        <v>30</v>
      </c>
      <c r="N32" s="28">
        <f t="shared" si="3"/>
        <v>0</v>
      </c>
      <c r="O32" s="1">
        <f>VLOOKUP($A32,Calculator!$A:$AE,30,FALSE)</f>
        <v>5.6216286586916366</v>
      </c>
      <c r="P32" s="28">
        <f t="shared" si="4"/>
        <v>84.856388660031996</v>
      </c>
      <c r="Q32" s="28">
        <f t="shared" si="5"/>
        <v>0.42428194330016</v>
      </c>
      <c r="R32" s="32">
        <f>VLOOKUP($A32,Calculator!$A:$Z,24,FALSE)</f>
        <v>2.5</v>
      </c>
      <c r="S32" s="1">
        <f>VLOOKUP($A32,Calculator!$A:$Z,25,FALSE)</f>
        <v>3.3333333333333339</v>
      </c>
      <c r="T32" s="1">
        <f>VLOOKUP($A32,Calculator!$A:$Z,26,FALSE)</f>
        <v>1.5</v>
      </c>
      <c r="U32" s="32">
        <f>IF(R32="No Data","No Data",R32/(5-IF(R32&lt;5,VLOOKUP($A32,'Data Gaps'!$A:$N,9,FALSE),0)))</f>
        <v>0.5</v>
      </c>
      <c r="V32" s="1">
        <f>IF(S32="No Data", "No Data",S32/(8-IF(S32&lt;8,VLOOKUP($A32,'Data Gaps'!$A:$N,10,FALSE),0)))</f>
        <v>0.41666666666666674</v>
      </c>
      <c r="W32" s="1">
        <f>IF(T32="No Data","No Data",T32/(5-IF(T32&lt;5,VLOOKUP($A32,'Data Gaps'!$A:$N,11,FALSE),0)))</f>
        <v>0.3</v>
      </c>
      <c r="X32" s="40">
        <f t="shared" si="6"/>
        <v>52.629141955497758</v>
      </c>
    </row>
    <row r="33" spans="1:24" x14ac:dyDescent="0.35">
      <c r="A33" s="1" t="s">
        <v>10</v>
      </c>
      <c r="B33" s="28" t="s">
        <v>11</v>
      </c>
      <c r="C33" s="1" t="s">
        <v>12</v>
      </c>
      <c r="D33" s="1" t="s">
        <v>13</v>
      </c>
      <c r="E33" s="29" t="s">
        <v>9</v>
      </c>
      <c r="F33" s="28" t="s">
        <v>159</v>
      </c>
      <c r="G33" s="28" t="str">
        <f>VLOOKUP($A33,'EBA2017'!$A:$G,7,FALSE)</f>
        <v>Two</v>
      </c>
      <c r="H33" s="32" t="str">
        <f>VLOOKUP($A33,Calculator!$A:$AE,27,FALSE)</f>
        <v>N/A</v>
      </c>
      <c r="I33" s="28">
        <f t="shared" si="0"/>
        <v>0</v>
      </c>
      <c r="J33" s="1" t="str">
        <f>VLOOKUP($A33,Calculator!$A:$AE,28,FALSE)</f>
        <v>N/A</v>
      </c>
      <c r="K33" s="28">
        <f t="shared" si="1"/>
        <v>0</v>
      </c>
      <c r="L33" s="28">
        <f t="shared" si="2"/>
        <v>0</v>
      </c>
      <c r="M33" s="32">
        <f>VLOOKUP($A33,Calculator!$A:$AE,29,FALSE)</f>
        <v>17</v>
      </c>
      <c r="N33" s="28">
        <f t="shared" si="3"/>
        <v>38.46153846153836</v>
      </c>
      <c r="O33" s="1">
        <f>VLOOKUP($A33,Calculator!$A:$AE,30,FALSE)</f>
        <v>8.2963241411481583</v>
      </c>
      <c r="P33" s="28">
        <f t="shared" si="4"/>
        <v>77.62000687727307</v>
      </c>
      <c r="Q33" s="28">
        <f t="shared" si="5"/>
        <v>0.58040772669405716</v>
      </c>
      <c r="R33" s="32">
        <f>VLOOKUP($A33,Calculator!$A:$Z,24,FALSE)</f>
        <v>3</v>
      </c>
      <c r="S33" s="1">
        <f>VLOOKUP($A33,Calculator!$A:$Z,25,FALSE)</f>
        <v>0.33333333333333326</v>
      </c>
      <c r="T33" s="1">
        <f>VLOOKUP($A33,Calculator!$A:$Z,26,FALSE)</f>
        <v>1.5</v>
      </c>
      <c r="U33" s="32">
        <f>IF(R33="No Data","No Data",R33/(5-IF(R33&lt;5,VLOOKUP($A33,'Data Gaps'!$A:$N,9,FALSE),0)))</f>
        <v>0.6</v>
      </c>
      <c r="V33" s="1">
        <f>IF(S33="No Data", "No Data",S33/(8-IF(S33&lt;8,VLOOKUP($A33,'Data Gaps'!$A:$N,10,FALSE),0)))</f>
        <v>4.1666666666666657E-2</v>
      </c>
      <c r="W33" s="1">
        <f>IF(T33="No Data","No Data",T33/(5-IF(T33&lt;5,VLOOKUP($A33,'Data Gaps'!$A:$N,11,FALSE),0)))</f>
        <v>0.3</v>
      </c>
      <c r="X33" s="40">
        <f t="shared" si="6"/>
        <v>30.441487867214477</v>
      </c>
    </row>
    <row r="34" spans="1:24" x14ac:dyDescent="0.35">
      <c r="A34" s="1" t="s">
        <v>19</v>
      </c>
      <c r="B34" s="28" t="s">
        <v>20</v>
      </c>
      <c r="C34" s="1" t="s">
        <v>21</v>
      </c>
      <c r="D34" s="1" t="s">
        <v>22</v>
      </c>
      <c r="E34" s="29" t="s">
        <v>9</v>
      </c>
      <c r="F34" s="28" t="s">
        <v>162</v>
      </c>
      <c r="G34" s="28" t="str">
        <f>VLOOKUP($A34,'EBA2017'!$A:$G,7,FALSE)</f>
        <v>Two</v>
      </c>
      <c r="H34" s="32" t="str">
        <f>VLOOKUP($A34,Calculator!$A:$AE,27,FALSE)</f>
        <v>N/A</v>
      </c>
      <c r="I34" s="28">
        <f t="shared" si="0"/>
        <v>0</v>
      </c>
      <c r="J34" s="1" t="str">
        <f>VLOOKUP($A34,Calculator!$A:$AE,28,FALSE)</f>
        <v>N/A</v>
      </c>
      <c r="K34" s="28">
        <f t="shared" si="1"/>
        <v>0</v>
      </c>
      <c r="L34" s="28">
        <f t="shared" si="2"/>
        <v>0</v>
      </c>
      <c r="M34" s="32" t="str">
        <f>VLOOKUP($A34,Calculator!$A:$AE,29,FALSE)</f>
        <v>No practice</v>
      </c>
      <c r="N34" s="28">
        <f t="shared" si="3"/>
        <v>0</v>
      </c>
      <c r="O34" s="1" t="str">
        <f>VLOOKUP($A34,Calculator!$A:$AE,30,FALSE)</f>
        <v>No practice</v>
      </c>
      <c r="P34" s="28">
        <f t="shared" si="4"/>
        <v>0</v>
      </c>
      <c r="Q34" s="28">
        <f t="shared" si="5"/>
        <v>0</v>
      </c>
      <c r="R34" s="32">
        <f>VLOOKUP($A34,Calculator!$A:$Z,24,FALSE)</f>
        <v>0.5</v>
      </c>
      <c r="S34" s="1">
        <f>VLOOKUP($A34,Calculator!$A:$Z,25,FALSE)</f>
        <v>2.3333333333333335</v>
      </c>
      <c r="T34" s="1">
        <f>VLOOKUP($A34,Calculator!$A:$Z,26,FALSE)</f>
        <v>4.5</v>
      </c>
      <c r="U34" s="32">
        <f>IF(R34="No Data","No Data",R34/(5-IF(R34&lt;5,VLOOKUP($A34,'Data Gaps'!$A:$N,9,FALSE),0)))</f>
        <v>0.1</v>
      </c>
      <c r="V34" s="1">
        <f>IF(S34="No Data", "No Data",S34/(8-IF(S34&lt;8,VLOOKUP($A34,'Data Gaps'!$A:$N,10,FALSE),0)))</f>
        <v>0.29166666666666669</v>
      </c>
      <c r="W34" s="1">
        <f>IF(T34="No Data","No Data",T34/(5-IF(T34&lt;5,VLOOKUP($A34,'Data Gaps'!$A:$N,11,FALSE),0)))</f>
        <v>0.9</v>
      </c>
      <c r="X34" s="40">
        <f t="shared" si="6"/>
        <v>25.833333333333336</v>
      </c>
    </row>
    <row r="35" spans="1:24" x14ac:dyDescent="0.35">
      <c r="A35" s="1" t="s">
        <v>43</v>
      </c>
      <c r="B35" s="28" t="s">
        <v>44</v>
      </c>
      <c r="C35" s="1" t="s">
        <v>16</v>
      </c>
      <c r="D35" s="1" t="s">
        <v>17</v>
      </c>
      <c r="E35" s="29" t="s">
        <v>9</v>
      </c>
      <c r="F35" s="28" t="s">
        <v>160</v>
      </c>
      <c r="G35" s="28" t="str">
        <f>VLOOKUP($A35,'EBA2017'!$A:$G,7,FALSE)</f>
        <v>Two</v>
      </c>
      <c r="H35" s="32">
        <f>VLOOKUP($A35,Calculator!$A:$AE,27,FALSE)</f>
        <v>18</v>
      </c>
      <c r="I35" s="28">
        <f t="shared" si="0"/>
        <v>94.9100163606617</v>
      </c>
      <c r="J35" s="1">
        <f>VLOOKUP($A35,Calculator!$A:$AE,28,FALSE)</f>
        <v>40.494073044930055</v>
      </c>
      <c r="K35" s="28">
        <f t="shared" si="1"/>
        <v>92.857435695439548</v>
      </c>
      <c r="L35" s="28">
        <f t="shared" si="2"/>
        <v>0.93883726028050629</v>
      </c>
      <c r="M35" s="32" t="str">
        <f>VLOOKUP($A35,Calculator!$A:$AE,29,FALSE)</f>
        <v>N/A</v>
      </c>
      <c r="N35" s="28">
        <f t="shared" si="3"/>
        <v>0</v>
      </c>
      <c r="O35" s="1" t="str">
        <f>VLOOKUP($A35,Calculator!$A:$AE,30,FALSE)</f>
        <v>N/A</v>
      </c>
      <c r="P35" s="28">
        <f t="shared" si="4"/>
        <v>0</v>
      </c>
      <c r="Q35" s="28">
        <f t="shared" si="5"/>
        <v>0</v>
      </c>
      <c r="R35" s="32">
        <f>VLOOKUP($A35,Calculator!$A:$Z,24,FALSE)</f>
        <v>1.5</v>
      </c>
      <c r="S35" s="1">
        <f>VLOOKUP($A35,Calculator!$A:$Z,25,FALSE)</f>
        <v>6.6666666666666679</v>
      </c>
      <c r="T35" s="1">
        <f>VLOOKUP($A35,Calculator!$A:$Z,26,FALSE)</f>
        <v>1.5</v>
      </c>
      <c r="U35" s="32">
        <f>IF(R35="No Data","No Data",R35/(5-IF(R35&lt;5,VLOOKUP($A35,'Data Gaps'!$A:$N,9,FALSE),0)))</f>
        <v>0.3</v>
      </c>
      <c r="V35" s="1">
        <f>IF(S35="No Data", "No Data",S35/(8-IF(S35&lt;8,VLOOKUP($A35,'Data Gaps'!$A:$N,10,FALSE),0)))</f>
        <v>0.83333333333333348</v>
      </c>
      <c r="W35" s="1">
        <f>IF(T35="No Data","No Data",T35/(5-IF(T35&lt;5,VLOOKUP($A35,'Data Gaps'!$A:$N,11,FALSE),0)))</f>
        <v>0.3</v>
      </c>
      <c r="X35" s="40">
        <f t="shared" si="6"/>
        <v>47.443411872276791</v>
      </c>
    </row>
    <row r="36" spans="1:24" x14ac:dyDescent="0.35">
      <c r="A36" s="1" t="s">
        <v>34</v>
      </c>
      <c r="B36" s="28" t="s">
        <v>35</v>
      </c>
      <c r="C36" s="1" t="s">
        <v>16</v>
      </c>
      <c r="D36" s="1" t="s">
        <v>17</v>
      </c>
      <c r="E36" s="29" t="s">
        <v>9</v>
      </c>
      <c r="F36" s="28" t="s">
        <v>160</v>
      </c>
      <c r="G36" s="28" t="str">
        <f>VLOOKUP($A36,'EBA2017'!$A:$G,7,FALSE)</f>
        <v>Two</v>
      </c>
      <c r="H36" s="32">
        <f>VLOOKUP($A36,Calculator!$A:$AE,27,FALSE)</f>
        <v>90</v>
      </c>
      <c r="I36" s="28">
        <f t="shared" si="0"/>
        <v>68.732957644064726</v>
      </c>
      <c r="J36" s="1">
        <f>VLOOKUP($A36,Calculator!$A:$AE,28,FALSE)</f>
        <v>270.6929534935411</v>
      </c>
      <c r="K36" s="28">
        <f t="shared" si="1"/>
        <v>51.783346016322874</v>
      </c>
      <c r="L36" s="28">
        <f t="shared" si="2"/>
        <v>0.60258151830193796</v>
      </c>
      <c r="M36" s="32" t="str">
        <f>VLOOKUP($A36,Calculator!$A:$AE,29,FALSE)</f>
        <v>No practice</v>
      </c>
      <c r="N36" s="28">
        <f t="shared" si="3"/>
        <v>0</v>
      </c>
      <c r="O36" s="1" t="str">
        <f>VLOOKUP($A36,Calculator!$A:$AE,30,FALSE)</f>
        <v>No practice</v>
      </c>
      <c r="P36" s="28">
        <f t="shared" si="4"/>
        <v>0</v>
      </c>
      <c r="Q36" s="28">
        <f t="shared" si="5"/>
        <v>0</v>
      </c>
      <c r="R36" s="32">
        <f>VLOOKUP($A36,Calculator!$A:$Z,24,FALSE)</f>
        <v>2.5</v>
      </c>
      <c r="S36" s="1">
        <f>VLOOKUP($A36,Calculator!$A:$Z,25,FALSE)</f>
        <v>6.5</v>
      </c>
      <c r="T36" s="1">
        <f>VLOOKUP($A36,Calculator!$A:$Z,26,FALSE)</f>
        <v>2</v>
      </c>
      <c r="U36" s="32">
        <f>IF(R36="No Data","No Data",R36/(5-IF(R36&lt;5,VLOOKUP($A36,'Data Gaps'!$A:$N,9,FALSE),0)))</f>
        <v>0.5</v>
      </c>
      <c r="V36" s="1">
        <f>IF(S36="No Data", "No Data",S36/(8-IF(S36&lt;8,VLOOKUP($A36,'Data Gaps'!$A:$N,10,FALSE),0)))</f>
        <v>0.8125</v>
      </c>
      <c r="W36" s="1">
        <f>IF(T36="No Data","No Data",T36/(5-IF(T36&lt;5,VLOOKUP($A36,'Data Gaps'!$A:$N,11,FALSE),0)))</f>
        <v>0.4</v>
      </c>
      <c r="X36" s="40">
        <f t="shared" si="6"/>
        <v>46.301630366038758</v>
      </c>
    </row>
    <row r="37" spans="1:24" x14ac:dyDescent="0.35">
      <c r="A37" s="1" t="s">
        <v>41</v>
      </c>
      <c r="B37" s="28" t="s">
        <v>42</v>
      </c>
      <c r="C37" s="1" t="s">
        <v>21</v>
      </c>
      <c r="D37" s="1" t="s">
        <v>22</v>
      </c>
      <c r="E37" s="29" t="s">
        <v>25</v>
      </c>
      <c r="F37" s="28" t="s">
        <v>160</v>
      </c>
      <c r="G37" s="28" t="str">
        <f>VLOOKUP($A37,'EBA2017'!$A:$G,7,FALSE)</f>
        <v>Two</v>
      </c>
      <c r="H37" s="32" t="str">
        <f>VLOOKUP($A37,Calculator!$A:$AE,27,FALSE)</f>
        <v>N/A</v>
      </c>
      <c r="I37" s="28">
        <f t="shared" si="0"/>
        <v>0</v>
      </c>
      <c r="J37" s="1" t="str">
        <f>VLOOKUP($A37,Calculator!$A:$AE,28,FALSE)</f>
        <v>N/A</v>
      </c>
      <c r="K37" s="28">
        <f t="shared" si="1"/>
        <v>0</v>
      </c>
      <c r="L37" s="28">
        <f t="shared" si="2"/>
        <v>0</v>
      </c>
      <c r="M37" s="32">
        <f>VLOOKUP($A37,Calculator!$A:$AE,29,FALSE)</f>
        <v>2</v>
      </c>
      <c r="N37" s="28">
        <f t="shared" si="3"/>
        <v>96.153846153846146</v>
      </c>
      <c r="O37" s="1">
        <f>VLOOKUP($A37,Calculator!$A:$AE,30,FALSE)</f>
        <v>1.107402594117233</v>
      </c>
      <c r="P37" s="28">
        <f t="shared" si="4"/>
        <v>97.069615725020995</v>
      </c>
      <c r="Q37" s="28">
        <f t="shared" si="5"/>
        <v>0.96611730939433571</v>
      </c>
      <c r="R37" s="32">
        <f>VLOOKUP($A37,Calculator!$A:$Z,24,FALSE)</f>
        <v>1.5</v>
      </c>
      <c r="S37" s="1">
        <f>VLOOKUP($A37,Calculator!$A:$Z,25,FALSE)</f>
        <v>0.33333333333333326</v>
      </c>
      <c r="T37" s="1">
        <f>VLOOKUP($A37,Calculator!$A:$Z,26,FALSE)</f>
        <v>3</v>
      </c>
      <c r="U37" s="32">
        <f>IF(R37="No Data","No Data",R37/(5-IF(R37&lt;5,VLOOKUP($A37,'Data Gaps'!$A:$N,9,FALSE),0)))</f>
        <v>0.3</v>
      </c>
      <c r="V37" s="1">
        <f>IF(S37="No Data", "No Data",S37/(8-IF(S37&lt;8,VLOOKUP($A37,'Data Gaps'!$A:$N,10,FALSE),0)))</f>
        <v>4.1666666666666657E-2</v>
      </c>
      <c r="W37" s="1">
        <f>IF(T37="No Data","No Data",T37/(5-IF(T37&lt;5,VLOOKUP($A37,'Data Gaps'!$A:$N,11,FALSE),0)))</f>
        <v>0.6</v>
      </c>
      <c r="X37" s="40">
        <f t="shared" si="6"/>
        <v>38.155679521220051</v>
      </c>
    </row>
    <row r="38" spans="1:24" x14ac:dyDescent="0.35">
      <c r="A38" s="1" t="s">
        <v>47</v>
      </c>
      <c r="B38" s="28" t="s">
        <v>48</v>
      </c>
      <c r="C38" s="1" t="s">
        <v>49</v>
      </c>
      <c r="D38" s="1" t="s">
        <v>50</v>
      </c>
      <c r="E38" s="29" t="s">
        <v>9</v>
      </c>
      <c r="F38" s="28" t="s">
        <v>159</v>
      </c>
      <c r="G38" s="28" t="str">
        <f>VLOOKUP($A38,'EBA2017'!$A:$G,7,FALSE)</f>
        <v>Two</v>
      </c>
      <c r="H38" s="32" t="str">
        <f>VLOOKUP($A38,Calculator!$A:$AE,27,FALSE)</f>
        <v>N/A</v>
      </c>
      <c r="I38" s="28">
        <f t="shared" si="0"/>
        <v>0</v>
      </c>
      <c r="J38" s="1" t="str">
        <f>VLOOKUP($A38,Calculator!$A:$AE,28,FALSE)</f>
        <v>N/A</v>
      </c>
      <c r="K38" s="28">
        <f t="shared" si="1"/>
        <v>0</v>
      </c>
      <c r="L38" s="28">
        <f t="shared" si="2"/>
        <v>0</v>
      </c>
      <c r="M38" s="32">
        <f>VLOOKUP($A38,Calculator!$A:$AE,29,FALSE)</f>
        <v>1</v>
      </c>
      <c r="N38" s="28">
        <f t="shared" si="3"/>
        <v>100</v>
      </c>
      <c r="O38" s="1">
        <f>VLOOKUP($A38,Calculator!$A:$AE,30,FALSE)</f>
        <v>1.9196790108043058</v>
      </c>
      <c r="P38" s="28">
        <f t="shared" si="4"/>
        <v>94.87200395843567</v>
      </c>
      <c r="Q38" s="28">
        <f t="shared" si="5"/>
        <v>0.97436001979217834</v>
      </c>
      <c r="R38" s="32">
        <f>VLOOKUP($A38,Calculator!$A:$Z,24,FALSE)</f>
        <v>4</v>
      </c>
      <c r="S38" s="1">
        <f>VLOOKUP($A38,Calculator!$A:$Z,25,FALSE)</f>
        <v>2.3333333333333335</v>
      </c>
      <c r="T38" s="1">
        <f>VLOOKUP($A38,Calculator!$A:$Z,26,FALSE)</f>
        <v>2</v>
      </c>
      <c r="U38" s="32">
        <f>IF(R38="No Data","No Data",R38/(5-IF(R38&lt;5,VLOOKUP($A38,'Data Gaps'!$A:$N,9,FALSE),0)))</f>
        <v>1</v>
      </c>
      <c r="V38" s="1">
        <f>IF(S38="No Data", "No Data",S38/(8-IF(S38&lt;8,VLOOKUP($A38,'Data Gaps'!$A:$N,10,FALSE),0)))</f>
        <v>0.29166666666666669</v>
      </c>
      <c r="W38" s="1">
        <f>IF(T38="No Data","No Data",T38/(5-IF(T38&lt;5,VLOOKUP($A38,'Data Gaps'!$A:$N,11,FALSE),0)))</f>
        <v>0.5</v>
      </c>
      <c r="X38" s="40">
        <f t="shared" si="6"/>
        <v>55.320533729176901</v>
      </c>
    </row>
    <row r="39" spans="1:24" x14ac:dyDescent="0.35">
      <c r="A39" s="1" t="s">
        <v>51</v>
      </c>
      <c r="B39" s="28" t="s">
        <v>52</v>
      </c>
      <c r="C39" s="1" t="s">
        <v>16</v>
      </c>
      <c r="D39" s="1" t="s">
        <v>17</v>
      </c>
      <c r="E39" s="29" t="s">
        <v>18</v>
      </c>
      <c r="F39" s="28" t="s">
        <v>160</v>
      </c>
      <c r="G39" s="28" t="str">
        <f>VLOOKUP($A39,'EBA2017'!$A:$G,7,FALSE)</f>
        <v>Two</v>
      </c>
      <c r="H39" s="32" t="str">
        <f>VLOOKUP($A39,Calculator!$A:$AE,27,FALSE)</f>
        <v>No practice</v>
      </c>
      <c r="I39" s="28">
        <f t="shared" si="0"/>
        <v>0</v>
      </c>
      <c r="J39" s="1" t="str">
        <f>VLOOKUP($A39,Calculator!$A:$AE,28,FALSE)</f>
        <v>No practice</v>
      </c>
      <c r="K39" s="28">
        <f t="shared" si="1"/>
        <v>0</v>
      </c>
      <c r="L39" s="28">
        <f t="shared" si="2"/>
        <v>0</v>
      </c>
      <c r="M39" s="32">
        <f>VLOOKUP($A39,Calculator!$A:$AE,29,FALSE)</f>
        <v>2</v>
      </c>
      <c r="N39" s="28">
        <f t="shared" si="3"/>
        <v>96.153846153846146</v>
      </c>
      <c r="O39" s="1">
        <f>VLOOKUP($A39,Calculator!$A:$AE,30,FALSE)</f>
        <v>1.8634498819950984</v>
      </c>
      <c r="P39" s="28">
        <f t="shared" si="4"/>
        <v>95.024131722528537</v>
      </c>
      <c r="Q39" s="28">
        <f t="shared" si="5"/>
        <v>0.95588988938187347</v>
      </c>
      <c r="R39" s="32">
        <f>VLOOKUP($A39,Calculator!$A:$Z,24,FALSE)</f>
        <v>3.5</v>
      </c>
      <c r="S39" s="1">
        <f>VLOOKUP($A39,Calculator!$A:$Z,25,FALSE)</f>
        <v>4.333333333333333</v>
      </c>
      <c r="T39" s="1">
        <f>VLOOKUP($A39,Calculator!$A:$Z,26,FALSE)</f>
        <v>3</v>
      </c>
      <c r="U39" s="32">
        <f>IF(R39="No Data","No Data",R39/(5-IF(R39&lt;5,VLOOKUP($A39,'Data Gaps'!$A:$N,9,FALSE),0)))</f>
        <v>0.7</v>
      </c>
      <c r="V39" s="1">
        <f>IF(S39="No Data", "No Data",S39/(8-IF(S39&lt;8,VLOOKUP($A39,'Data Gaps'!$A:$N,10,FALSE),0)))</f>
        <v>0.54166666666666663</v>
      </c>
      <c r="W39" s="1">
        <f>IF(T39="No Data","No Data",T39/(5-IF(T39&lt;5,VLOOKUP($A39,'Data Gaps'!$A:$N,11,FALSE),0)))</f>
        <v>0.6</v>
      </c>
      <c r="X39" s="40">
        <f t="shared" si="6"/>
        <v>55.951131120970807</v>
      </c>
    </row>
    <row r="40" spans="1:24" x14ac:dyDescent="0.35">
      <c r="A40" s="1" t="s">
        <v>55</v>
      </c>
      <c r="B40" s="28" t="s">
        <v>56</v>
      </c>
      <c r="C40" s="1" t="s">
        <v>16</v>
      </c>
      <c r="D40" s="1" t="s">
        <v>17</v>
      </c>
      <c r="E40" s="29" t="s">
        <v>9</v>
      </c>
      <c r="F40" s="28" t="s">
        <v>160</v>
      </c>
      <c r="G40" s="28" t="str">
        <f>VLOOKUP($A40,'EBA2017'!$A:$G,7,FALSE)</f>
        <v>Two</v>
      </c>
      <c r="H40" s="32" t="str">
        <f>VLOOKUP($A40,Calculator!$A:$AE,27,FALSE)</f>
        <v>N/A</v>
      </c>
      <c r="I40" s="28">
        <f t="shared" si="0"/>
        <v>0</v>
      </c>
      <c r="J40" s="1" t="str">
        <f>VLOOKUP($A40,Calculator!$A:$AE,28,FALSE)</f>
        <v>N/A</v>
      </c>
      <c r="K40" s="28">
        <f t="shared" si="1"/>
        <v>0</v>
      </c>
      <c r="L40" s="28">
        <f t="shared" si="2"/>
        <v>0</v>
      </c>
      <c r="M40" s="32">
        <f>VLOOKUP($A40,Calculator!$A:$AE,29,FALSE)</f>
        <v>30</v>
      </c>
      <c r="N40" s="28">
        <f t="shared" si="3"/>
        <v>0</v>
      </c>
      <c r="O40" s="1">
        <f>VLOOKUP($A40,Calculator!$A:$AE,30,FALSE)</f>
        <v>10.10758982813015</v>
      </c>
      <c r="P40" s="28">
        <f t="shared" si="4"/>
        <v>72.71963219649821</v>
      </c>
      <c r="Q40" s="28">
        <f t="shared" si="5"/>
        <v>0.36359816098249104</v>
      </c>
      <c r="R40" s="32">
        <f>VLOOKUP($A40,Calculator!$A:$Z,24,FALSE)</f>
        <v>3.5</v>
      </c>
      <c r="S40" s="1">
        <f>VLOOKUP($A40,Calculator!$A:$Z,25,FALSE)</f>
        <v>2</v>
      </c>
      <c r="T40" s="1">
        <f>VLOOKUP($A40,Calculator!$A:$Z,26,FALSE)</f>
        <v>5</v>
      </c>
      <c r="U40" s="32">
        <f>IF(R40="No Data","No Data",R40/(5-IF(R40&lt;5,VLOOKUP($A40,'Data Gaps'!$A:$N,9,FALSE),0)))</f>
        <v>0.7</v>
      </c>
      <c r="V40" s="1">
        <f>IF(S40="No Data", "No Data",S40/(8-IF(S40&lt;8,VLOOKUP($A40,'Data Gaps'!$A:$N,10,FALSE),0)))</f>
        <v>0.25</v>
      </c>
      <c r="W40" s="1">
        <f>IF(T40="No Data","No Data",T40/(5-IF(T40&lt;5,VLOOKUP($A40,'Data Gaps'!$A:$N,11,FALSE),0)))</f>
        <v>1</v>
      </c>
      <c r="X40" s="40">
        <f t="shared" si="6"/>
        <v>46.271963219649827</v>
      </c>
    </row>
    <row r="41" spans="1:24" x14ac:dyDescent="0.35">
      <c r="A41" s="1" t="s">
        <v>59</v>
      </c>
      <c r="B41" s="28" t="s">
        <v>60</v>
      </c>
      <c r="C41" s="1" t="s">
        <v>21</v>
      </c>
      <c r="D41" s="1" t="s">
        <v>22</v>
      </c>
      <c r="E41" s="28" t="s">
        <v>9</v>
      </c>
      <c r="F41" s="28" t="s">
        <v>159</v>
      </c>
      <c r="G41" s="28" t="str">
        <f>VLOOKUP($A41,'EBA2017'!$A:$G,7,FALSE)</f>
        <v>Two</v>
      </c>
      <c r="H41" s="32" t="str">
        <f>VLOOKUP($A41,Calculator!$A:$AE,27,FALSE)</f>
        <v>N/A</v>
      </c>
      <c r="I41" s="28">
        <f t="shared" si="0"/>
        <v>0</v>
      </c>
      <c r="J41" s="1" t="str">
        <f>VLOOKUP($A41,Calculator!$A:$AE,28,FALSE)</f>
        <v>N/A</v>
      </c>
      <c r="K41" s="28">
        <f t="shared" si="1"/>
        <v>0</v>
      </c>
      <c r="L41" s="28">
        <f t="shared" si="2"/>
        <v>0</v>
      </c>
      <c r="M41" s="32" t="str">
        <f>VLOOKUP($A41,Calculator!$A:$AE,29,FALSE)</f>
        <v>N/A</v>
      </c>
      <c r="N41" s="28">
        <f t="shared" si="3"/>
        <v>0</v>
      </c>
      <c r="O41" s="1" t="str">
        <f>VLOOKUP($A41,Calculator!$A:$AE,30,FALSE)</f>
        <v>N/A</v>
      </c>
      <c r="P41" s="28">
        <f t="shared" si="4"/>
        <v>0</v>
      </c>
      <c r="Q41" s="28">
        <f t="shared" si="5"/>
        <v>0</v>
      </c>
      <c r="R41" s="32">
        <f>VLOOKUP($A41,Calculator!$A:$Z,24,FALSE)</f>
        <v>0</v>
      </c>
      <c r="S41" s="1">
        <f>VLOOKUP($A41,Calculator!$A:$Z,25,FALSE)</f>
        <v>0.33333333333333326</v>
      </c>
      <c r="T41" s="1">
        <f>VLOOKUP($A41,Calculator!$A:$Z,26,FALSE)</f>
        <v>4.5</v>
      </c>
      <c r="U41" s="32">
        <f>IF(R41="No Data","No Data",R41/(5-IF(R41&lt;5,VLOOKUP($A41,'Data Gaps'!$A:$N,9,FALSE),0)))</f>
        <v>0</v>
      </c>
      <c r="V41" s="1">
        <f>IF(S41="No Data", "No Data",S41/(8-IF(S41&lt;8,VLOOKUP($A41,'Data Gaps'!$A:$N,10,FALSE),0)))</f>
        <v>4.1666666666666657E-2</v>
      </c>
      <c r="W41" s="1">
        <f>IF(T41="No Data","No Data",T41/(5-IF(T41&lt;5,VLOOKUP($A41,'Data Gaps'!$A:$N,11,FALSE),0)))</f>
        <v>0.9</v>
      </c>
      <c r="X41" s="40">
        <f t="shared" si="6"/>
        <v>18.833333333333332</v>
      </c>
    </row>
    <row r="42" spans="1:24" x14ac:dyDescent="0.35">
      <c r="A42" s="1" t="s">
        <v>61</v>
      </c>
      <c r="B42" s="28" t="s">
        <v>62</v>
      </c>
      <c r="C42" s="1" t="s">
        <v>21</v>
      </c>
      <c r="D42" s="1" t="s">
        <v>22</v>
      </c>
      <c r="E42" s="28" t="s">
        <v>18</v>
      </c>
      <c r="F42" s="28" t="s">
        <v>159</v>
      </c>
      <c r="G42" s="28" t="str">
        <f>VLOOKUP($A42,'EBA2017'!$A:$G,7,FALSE)</f>
        <v>Two</v>
      </c>
      <c r="H42" s="32" t="str">
        <f>VLOOKUP($A42,Calculator!$A:$AE,27,FALSE)</f>
        <v>N/A</v>
      </c>
      <c r="I42" s="28">
        <f t="shared" si="0"/>
        <v>0</v>
      </c>
      <c r="J42" s="1" t="str">
        <f>VLOOKUP($A42,Calculator!$A:$AE,28,FALSE)</f>
        <v>N/A</v>
      </c>
      <c r="K42" s="28">
        <f t="shared" si="1"/>
        <v>0</v>
      </c>
      <c r="L42" s="28">
        <f t="shared" si="2"/>
        <v>0</v>
      </c>
      <c r="M42" s="32">
        <f>VLOOKUP($A42,Calculator!$A:$AE,29,FALSE)</f>
        <v>5</v>
      </c>
      <c r="N42" s="28">
        <f t="shared" si="3"/>
        <v>84.615384615384599</v>
      </c>
      <c r="O42" s="1">
        <f>VLOOKUP($A42,Calculator!$A:$AE,30,FALSE)</f>
        <v>40.849287281432119</v>
      </c>
      <c r="P42" s="28">
        <f t="shared" si="4"/>
        <v>0</v>
      </c>
      <c r="Q42" s="28">
        <f t="shared" si="5"/>
        <v>0.42307692307692302</v>
      </c>
      <c r="R42" s="32">
        <f>VLOOKUP($A42,Calculator!$A:$Z,24,FALSE)</f>
        <v>2.5</v>
      </c>
      <c r="S42" s="1">
        <f>VLOOKUP($A42,Calculator!$A:$Z,25,FALSE)</f>
        <v>0.33333333333333326</v>
      </c>
      <c r="T42" s="1">
        <f>VLOOKUP($A42,Calculator!$A:$Z,26,FALSE)</f>
        <v>5</v>
      </c>
      <c r="U42" s="32">
        <f>IF(R42="No Data","No Data",R42/(5-IF(R42&lt;5,VLOOKUP($A42,'Data Gaps'!$A:$N,9,FALSE),0)))</f>
        <v>0.625</v>
      </c>
      <c r="V42" s="1">
        <f>IF(S42="No Data", "No Data",S42/(8-IF(S42&lt;8,VLOOKUP($A42,'Data Gaps'!$A:$N,10,FALSE),0)))</f>
        <v>4.1666666666666657E-2</v>
      </c>
      <c r="W42" s="1">
        <f>IF(T42="No Data","No Data",T42/(5-IF(T42&lt;5,VLOOKUP($A42,'Data Gaps'!$A:$N,11,FALSE),0)))</f>
        <v>1</v>
      </c>
      <c r="X42" s="40">
        <f t="shared" si="6"/>
        <v>41.794871794871788</v>
      </c>
    </row>
    <row r="43" spans="1:24" x14ac:dyDescent="0.35">
      <c r="A43" s="1" t="s">
        <v>63</v>
      </c>
      <c r="B43" s="28" t="s">
        <v>146</v>
      </c>
      <c r="C43" s="1" t="s">
        <v>12</v>
      </c>
      <c r="D43" s="1" t="s">
        <v>13</v>
      </c>
      <c r="E43" s="28" t="s">
        <v>9</v>
      </c>
      <c r="F43" s="28" t="s">
        <v>162</v>
      </c>
      <c r="G43" s="28" t="str">
        <f>VLOOKUP($A43,'EBA2017'!$A:$G,7,FALSE)</f>
        <v>Two</v>
      </c>
      <c r="H43" s="32">
        <f>VLOOKUP($A43,Calculator!$A:$AE,27,FALSE)</f>
        <v>270</v>
      </c>
      <c r="I43" s="28">
        <f t="shared" si="0"/>
        <v>3.2903108525723033</v>
      </c>
      <c r="J43" s="1">
        <f>VLOOKUP($A43,Calculator!$A:$AE,28,FALSE)</f>
        <v>604.35478441387988</v>
      </c>
      <c r="K43" s="28">
        <f t="shared" si="1"/>
        <v>0</v>
      </c>
      <c r="L43" s="28">
        <f t="shared" si="2"/>
        <v>1.6451554262861517E-2</v>
      </c>
      <c r="M43" s="32">
        <f>VLOOKUP($A43,Calculator!$A:$AE,29,FALSE)</f>
        <v>7</v>
      </c>
      <c r="N43" s="28">
        <f t="shared" si="3"/>
        <v>76.923076923076877</v>
      </c>
      <c r="O43" s="1">
        <f>VLOOKUP($A43,Calculator!$A:$AE,30,FALSE)</f>
        <v>0.1955233275143903</v>
      </c>
      <c r="P43" s="28">
        <f t="shared" si="4"/>
        <v>99.536702747151821</v>
      </c>
      <c r="Q43" s="28">
        <f t="shared" si="5"/>
        <v>0.8822988983511435</v>
      </c>
      <c r="R43" s="32">
        <f>VLOOKUP($A43,Calculator!$A:$Z,24,FALSE)</f>
        <v>3.5</v>
      </c>
      <c r="S43" s="1">
        <f>VLOOKUP($A43,Calculator!$A:$Z,25,FALSE)</f>
        <v>3.8333333333333339</v>
      </c>
      <c r="T43" s="1">
        <f>VLOOKUP($A43,Calculator!$A:$Z,26,FALSE)</f>
        <v>4.5</v>
      </c>
      <c r="U43" s="32">
        <f>IF(R43="No Data","No Data",R43/(5-IF(R43&lt;5,VLOOKUP($A43,'Data Gaps'!$A:$N,9,FALSE),0)))</f>
        <v>0.7</v>
      </c>
      <c r="V43" s="1">
        <f>IF(S43="No Data", "No Data",S43/(8-IF(S43&lt;8,VLOOKUP($A43,'Data Gaps'!$A:$N,10,FALSE),0)))</f>
        <v>0.47916666666666674</v>
      </c>
      <c r="W43" s="1">
        <f>IF(T43="No Data","No Data",T43/(5-IF(T43&lt;5,VLOOKUP($A43,'Data Gaps'!$A:$N,11,FALSE),0)))</f>
        <v>0.9</v>
      </c>
      <c r="X43" s="40">
        <f t="shared" si="6"/>
        <v>59.558342385613436</v>
      </c>
    </row>
    <row r="44" spans="1:24" x14ac:dyDescent="0.35">
      <c r="A44" s="1" t="s">
        <v>66</v>
      </c>
      <c r="B44" s="28" t="s">
        <v>67</v>
      </c>
      <c r="C44" s="1" t="s">
        <v>49</v>
      </c>
      <c r="D44" s="1" t="s">
        <v>50</v>
      </c>
      <c r="E44" s="28" t="s">
        <v>25</v>
      </c>
      <c r="F44" s="28" t="s">
        <v>161</v>
      </c>
      <c r="G44" s="28" t="str">
        <f>VLOOKUP($A44,'EBA2017'!$A:$G,7,FALSE)</f>
        <v>Two</v>
      </c>
      <c r="H44" s="32" t="str">
        <f>VLOOKUP($A44,Calculator!$A:$AE,27,FALSE)</f>
        <v>N/A</v>
      </c>
      <c r="I44" s="28">
        <f t="shared" si="0"/>
        <v>0</v>
      </c>
      <c r="J44" s="1" t="str">
        <f>VLOOKUP($A44,Calculator!$A:$AE,28,FALSE)</f>
        <v>N/A</v>
      </c>
      <c r="K44" s="28">
        <f t="shared" si="1"/>
        <v>0</v>
      </c>
      <c r="L44" s="28">
        <f t="shared" si="2"/>
        <v>0</v>
      </c>
      <c r="M44" s="32">
        <f>VLOOKUP($A44,Calculator!$A:$AE,29,FALSE)</f>
        <v>1</v>
      </c>
      <c r="N44" s="28">
        <f t="shared" si="3"/>
        <v>100</v>
      </c>
      <c r="O44" s="1">
        <f>VLOOKUP($A44,Calculator!$A:$AE,30,FALSE)</f>
        <v>20.218620533128242</v>
      </c>
      <c r="P44" s="28">
        <f t="shared" si="4"/>
        <v>45.364264500073439</v>
      </c>
      <c r="Q44" s="28">
        <f t="shared" si="5"/>
        <v>0.72682132250036713</v>
      </c>
      <c r="R44" s="32">
        <f>VLOOKUP($A44,Calculator!$A:$Z,24,FALSE)</f>
        <v>4</v>
      </c>
      <c r="S44" s="1">
        <f>VLOOKUP($A44,Calculator!$A:$Z,25,FALSE)</f>
        <v>1.1666666666666665</v>
      </c>
      <c r="T44" s="1">
        <f>VLOOKUP($A44,Calculator!$A:$Z,26,FALSE)</f>
        <v>4.5</v>
      </c>
      <c r="U44" s="32">
        <f>IF(R44="No Data","No Data",R44/(5-IF(R44&lt;5,VLOOKUP($A44,'Data Gaps'!$A:$N,9,FALSE),0)))</f>
        <v>0.8</v>
      </c>
      <c r="V44" s="1">
        <f>IF(S44="No Data", "No Data",S44/(8-IF(S44&lt;8,VLOOKUP($A44,'Data Gaps'!$A:$N,10,FALSE),0)))</f>
        <v>0.14583333333333331</v>
      </c>
      <c r="W44" s="1">
        <f>IF(T44="No Data","No Data",T44/(5-IF(T44&lt;5,VLOOKUP($A44,'Data Gaps'!$A:$N,11,FALSE),0)))</f>
        <v>0.9</v>
      </c>
      <c r="X44" s="40">
        <f t="shared" si="6"/>
        <v>51.453093116674012</v>
      </c>
    </row>
    <row r="45" spans="1:24" x14ac:dyDescent="0.35">
      <c r="A45" s="1" t="s">
        <v>70</v>
      </c>
      <c r="B45" s="28" t="s">
        <v>71</v>
      </c>
      <c r="C45" s="1" t="s">
        <v>16</v>
      </c>
      <c r="D45" s="1" t="s">
        <v>17</v>
      </c>
      <c r="E45" s="28" t="s">
        <v>9</v>
      </c>
      <c r="F45" s="28" t="s">
        <v>160</v>
      </c>
      <c r="G45" s="28" t="str">
        <f>VLOOKUP($A45,'EBA2017'!$A:$G,7,FALSE)</f>
        <v>Two</v>
      </c>
      <c r="H45" s="32" t="str">
        <f>VLOOKUP($A45,Calculator!$A:$AE,27,FALSE)</f>
        <v>N/A</v>
      </c>
      <c r="I45" s="28">
        <f t="shared" si="0"/>
        <v>0</v>
      </c>
      <c r="J45" s="1" t="str">
        <f>VLOOKUP($A45,Calculator!$A:$AE,28,FALSE)</f>
        <v>N/A</v>
      </c>
      <c r="K45" s="28">
        <f t="shared" si="1"/>
        <v>0</v>
      </c>
      <c r="L45" s="28">
        <f t="shared" si="2"/>
        <v>0</v>
      </c>
      <c r="M45" s="32">
        <f>VLOOKUP($A45,Calculator!$A:$AE,29,FALSE)</f>
        <v>7</v>
      </c>
      <c r="N45" s="28">
        <f t="shared" si="3"/>
        <v>76.923076923076877</v>
      </c>
      <c r="O45" s="1">
        <f>VLOOKUP($A45,Calculator!$A:$AE,30,FALSE)</f>
        <v>2.0416007554752129</v>
      </c>
      <c r="P45" s="28">
        <f t="shared" si="4"/>
        <v>94.542144990248218</v>
      </c>
      <c r="Q45" s="28">
        <f t="shared" si="5"/>
        <v>0.85732610956662536</v>
      </c>
      <c r="R45" s="32">
        <f>VLOOKUP($A45,Calculator!$A:$Z,24,FALSE)</f>
        <v>2.5</v>
      </c>
      <c r="S45" s="1">
        <f>VLOOKUP($A45,Calculator!$A:$Z,25,FALSE)</f>
        <v>2.6666666666666661</v>
      </c>
      <c r="T45" s="1">
        <f>VLOOKUP($A45,Calculator!$A:$Z,26,FALSE)</f>
        <v>5</v>
      </c>
      <c r="U45" s="32">
        <f>IF(R45="No Data","No Data",R45/(5-IF(R45&lt;5,VLOOKUP($A45,'Data Gaps'!$A:$N,9,FALSE),0)))</f>
        <v>0.5</v>
      </c>
      <c r="V45" s="1">
        <f>IF(S45="No Data", "No Data",S45/(8-IF(S45&lt;8,VLOOKUP($A45,'Data Gaps'!$A:$N,10,FALSE),0)))</f>
        <v>0.33333333333333326</v>
      </c>
      <c r="W45" s="1">
        <f>IF(T45="No Data","No Data",T45/(5-IF(T45&lt;5,VLOOKUP($A45,'Data Gaps'!$A:$N,11,FALSE),0)))</f>
        <v>1</v>
      </c>
      <c r="X45" s="40">
        <f t="shared" si="6"/>
        <v>53.813188857999172</v>
      </c>
    </row>
    <row r="46" spans="1:24" x14ac:dyDescent="0.35">
      <c r="A46" s="1" t="s">
        <v>30</v>
      </c>
      <c r="B46" s="28" t="s">
        <v>31</v>
      </c>
      <c r="C46" s="1" t="s">
        <v>32</v>
      </c>
      <c r="D46" s="1" t="s">
        <v>33</v>
      </c>
      <c r="E46" s="29" t="s">
        <v>9</v>
      </c>
      <c r="F46" s="28" t="s">
        <v>162</v>
      </c>
      <c r="G46" s="28" t="str">
        <f>VLOOKUP($A46,'EBA2017'!$A:$G,7,FALSE)</f>
        <v>Two</v>
      </c>
      <c r="H46" s="32" t="str">
        <f>VLOOKUP($A46,Calculator!$A:$AE,27,FALSE)</f>
        <v>N/A</v>
      </c>
      <c r="I46" s="28">
        <f t="shared" si="0"/>
        <v>0</v>
      </c>
      <c r="J46" s="1" t="str">
        <f>VLOOKUP($A46,Calculator!$A:$AE,28,FALSE)</f>
        <v>N/A</v>
      </c>
      <c r="K46" s="28">
        <f t="shared" si="1"/>
        <v>0</v>
      </c>
      <c r="L46" s="28">
        <f t="shared" si="2"/>
        <v>0</v>
      </c>
      <c r="M46" s="32">
        <f>VLOOKUP($A46,Calculator!$A:$AE,29,FALSE)</f>
        <v>14</v>
      </c>
      <c r="N46" s="28">
        <f t="shared" si="3"/>
        <v>49.999999999999915</v>
      </c>
      <c r="O46" s="1">
        <f>VLOOKUP($A46,Calculator!$A:$AE,30,FALSE)</f>
        <v>22.464236159388342</v>
      </c>
      <c r="P46" s="28">
        <f t="shared" si="4"/>
        <v>39.28875717016134</v>
      </c>
      <c r="Q46" s="28">
        <f t="shared" si="5"/>
        <v>0.4464437858508063</v>
      </c>
      <c r="R46" s="32">
        <f>VLOOKUP($A46,Calculator!$A:$Z,24,FALSE)</f>
        <v>2.5</v>
      </c>
      <c r="S46" s="1">
        <f>VLOOKUP($A46,Calculator!$A:$Z,25,FALSE)</f>
        <v>0.33333333333333326</v>
      </c>
      <c r="T46" s="1">
        <f>VLOOKUP($A46,Calculator!$A:$Z,26,FALSE)</f>
        <v>5</v>
      </c>
      <c r="U46" s="32">
        <f>IF(R46="No Data","No Data",R46/(5-IF(R46&lt;5,VLOOKUP($A46,'Data Gaps'!$A:$N,9,FALSE),0)))</f>
        <v>0.5</v>
      </c>
      <c r="V46" s="1">
        <f>IF(S46="No Data", "No Data",S46/(8-IF(S46&lt;8,VLOOKUP($A46,'Data Gaps'!$A:$N,10,FALSE),0)))</f>
        <v>4.1666666666666657E-2</v>
      </c>
      <c r="W46" s="1">
        <f>IF(T46="No Data","No Data",T46/(5-IF(T46&lt;5,VLOOKUP($A46,'Data Gaps'!$A:$N,11,FALSE),0)))</f>
        <v>1</v>
      </c>
      <c r="X46" s="40">
        <f t="shared" si="6"/>
        <v>39.762209050349462</v>
      </c>
    </row>
    <row r="47" spans="1:24" x14ac:dyDescent="0.35">
      <c r="A47" s="1" t="s">
        <v>76</v>
      </c>
      <c r="B47" s="28" t="s">
        <v>77</v>
      </c>
      <c r="C47" s="1" t="s">
        <v>32</v>
      </c>
      <c r="D47" s="1" t="s">
        <v>33</v>
      </c>
      <c r="E47" s="28" t="s">
        <v>9</v>
      </c>
      <c r="F47" s="28" t="s">
        <v>160</v>
      </c>
      <c r="G47" s="28" t="str">
        <f>VLOOKUP($A47,'EBA2017'!$A:$G,7,FALSE)</f>
        <v>Two</v>
      </c>
      <c r="H47" s="32" t="str">
        <f>VLOOKUP($A47,Calculator!$A:$AE,27,FALSE)</f>
        <v>N/A</v>
      </c>
      <c r="I47" s="28">
        <f t="shared" si="0"/>
        <v>0</v>
      </c>
      <c r="J47" s="1" t="str">
        <f>VLOOKUP($A47,Calculator!$A:$AE,28,FALSE)</f>
        <v>N/A</v>
      </c>
      <c r="K47" s="28">
        <f t="shared" si="1"/>
        <v>0</v>
      </c>
      <c r="L47" s="28">
        <f t="shared" si="2"/>
        <v>0</v>
      </c>
      <c r="M47" s="32" t="str">
        <f>VLOOKUP($A47,Calculator!$A:$AE,29,FALSE)</f>
        <v>No practice</v>
      </c>
      <c r="N47" s="28">
        <f t="shared" si="3"/>
        <v>0</v>
      </c>
      <c r="O47" s="1" t="str">
        <f>VLOOKUP($A47,Calculator!$A:$AE,30,FALSE)</f>
        <v>No practice</v>
      </c>
      <c r="P47" s="28">
        <f t="shared" si="4"/>
        <v>0</v>
      </c>
      <c r="Q47" s="28">
        <f t="shared" si="5"/>
        <v>0</v>
      </c>
      <c r="R47" s="32">
        <f>VLOOKUP($A47,Calculator!$A:$Z,24,FALSE)</f>
        <v>1</v>
      </c>
      <c r="S47" s="1">
        <f>VLOOKUP($A47,Calculator!$A:$Z,25,FALSE)</f>
        <v>0.33333333333333326</v>
      </c>
      <c r="T47" s="1">
        <f>VLOOKUP($A47,Calculator!$A:$Z,26,FALSE)</f>
        <v>2.5</v>
      </c>
      <c r="U47" s="32">
        <f>IF(R47="No Data","No Data",R47/(5-IF(R47&lt;5,VLOOKUP($A47,'Data Gaps'!$A:$N,9,FALSE),0)))</f>
        <v>0.2</v>
      </c>
      <c r="V47" s="1">
        <f>IF(S47="No Data", "No Data",S47/(8-IF(S47&lt;8,VLOOKUP($A47,'Data Gaps'!$A:$N,10,FALSE),0)))</f>
        <v>4.1666666666666657E-2</v>
      </c>
      <c r="W47" s="1">
        <f>IF(T47="No Data","No Data",T47/(5-IF(T47&lt;5,VLOOKUP($A47,'Data Gaps'!$A:$N,11,FALSE),0)))</f>
        <v>0.5</v>
      </c>
      <c r="X47" s="40">
        <f t="shared" si="6"/>
        <v>14.833333333333334</v>
      </c>
    </row>
    <row r="48" spans="1:24" x14ac:dyDescent="0.35">
      <c r="A48" s="1" t="s">
        <v>122</v>
      </c>
      <c r="B48" s="28" t="s">
        <v>123</v>
      </c>
      <c r="C48" s="1" t="s">
        <v>12</v>
      </c>
      <c r="D48" s="1" t="s">
        <v>13</v>
      </c>
      <c r="E48" s="29" t="s">
        <v>9</v>
      </c>
      <c r="F48" s="28" t="s">
        <v>160</v>
      </c>
      <c r="G48" s="28" t="str">
        <f>VLOOKUP($A48,'EBA2017'!$A:$G,7,FALSE)</f>
        <v>Two</v>
      </c>
      <c r="H48" s="32" t="str">
        <f>VLOOKUP($A48,Calculator!$A:$AE,27,FALSE)</f>
        <v>N/A</v>
      </c>
      <c r="I48" s="28">
        <f t="shared" si="0"/>
        <v>0</v>
      </c>
      <c r="J48" s="1" t="str">
        <f>VLOOKUP($A48,Calculator!$A:$AE,28,FALSE)</f>
        <v>N/A</v>
      </c>
      <c r="K48" s="28">
        <f t="shared" si="1"/>
        <v>0</v>
      </c>
      <c r="L48" s="28">
        <f t="shared" si="2"/>
        <v>0</v>
      </c>
      <c r="M48" s="32">
        <f>VLOOKUP($A48,Calculator!$A:$AE,29,FALSE)</f>
        <v>3</v>
      </c>
      <c r="N48" s="28">
        <f t="shared" si="3"/>
        <v>92.307692307692292</v>
      </c>
      <c r="O48" s="1">
        <f>VLOOKUP($A48,Calculator!$A:$AE,30,FALSE)</f>
        <v>3.2765041066799672</v>
      </c>
      <c r="P48" s="28">
        <f t="shared" si="4"/>
        <v>91.201117133903736</v>
      </c>
      <c r="Q48" s="28">
        <f t="shared" si="5"/>
        <v>0.91754404720798022</v>
      </c>
      <c r="R48" s="32">
        <f>VLOOKUP($A48,Calculator!$A:$Z,24,FALSE)</f>
        <v>2.5</v>
      </c>
      <c r="S48" s="1">
        <f>VLOOKUP($A48,Calculator!$A:$Z,25,FALSE)</f>
        <v>2.3333333333333335</v>
      </c>
      <c r="T48" s="1">
        <f>VLOOKUP($A48,Calculator!$A:$Z,26,FALSE)</f>
        <v>3</v>
      </c>
      <c r="U48" s="32">
        <f>IF(R48="No Data","No Data",R48/(5-IF(R48&lt;5,VLOOKUP($A48,'Data Gaps'!$A:$N,9,FALSE),0)))</f>
        <v>0.5</v>
      </c>
      <c r="V48" s="1">
        <f>IF(S48="No Data", "No Data",S48/(8-IF(S48&lt;8,VLOOKUP($A48,'Data Gaps'!$A:$N,10,FALSE),0)))</f>
        <v>0.29166666666666669</v>
      </c>
      <c r="W48" s="1">
        <f>IF(T48="No Data","No Data",T48/(5-IF(T48&lt;5,VLOOKUP($A48,'Data Gaps'!$A:$N,11,FALSE),0)))</f>
        <v>0.6</v>
      </c>
      <c r="X48" s="40">
        <f t="shared" si="6"/>
        <v>46.184214277492934</v>
      </c>
    </row>
    <row r="49" spans="1:24" x14ac:dyDescent="0.35">
      <c r="A49" s="1" t="s">
        <v>88</v>
      </c>
      <c r="B49" s="28" t="s">
        <v>89</v>
      </c>
      <c r="C49" s="1" t="s">
        <v>49</v>
      </c>
      <c r="D49" s="1" t="s">
        <v>50</v>
      </c>
      <c r="E49" s="28" t="s">
        <v>9</v>
      </c>
      <c r="F49" s="28" t="s">
        <v>161</v>
      </c>
      <c r="G49" s="28" t="str">
        <f>VLOOKUP($A49,'EBA2017'!$A:$G,7,FALSE)</f>
        <v>Two</v>
      </c>
      <c r="H49" s="32">
        <f>VLOOKUP($A49,Calculator!$A:$AE,27,FALSE)</f>
        <v>31</v>
      </c>
      <c r="I49" s="28">
        <f t="shared" si="0"/>
        <v>90.183602981276138</v>
      </c>
      <c r="J49" s="1">
        <f>VLOOKUP($A49,Calculator!$A:$AE,28,FALSE)</f>
        <v>271.98640771354741</v>
      </c>
      <c r="K49" s="28">
        <f t="shared" si="1"/>
        <v>51.552556646171134</v>
      </c>
      <c r="L49" s="28">
        <f t="shared" si="2"/>
        <v>0.70868079813723639</v>
      </c>
      <c r="M49" s="32">
        <f>VLOOKUP($A49,Calculator!$A:$AE,29,FALSE)</f>
        <v>1</v>
      </c>
      <c r="N49" s="28">
        <f t="shared" si="3"/>
        <v>100</v>
      </c>
      <c r="O49" s="1">
        <f>VLOOKUP($A49,Calculator!$A:$AE,30,FALSE)</f>
        <v>1.2874023298441242</v>
      </c>
      <c r="P49" s="28">
        <f t="shared" si="4"/>
        <v>96.582626900663598</v>
      </c>
      <c r="Q49" s="28">
        <f t="shared" si="5"/>
        <v>0.98291313450331796</v>
      </c>
      <c r="R49" s="32">
        <f>VLOOKUP($A49,Calculator!$A:$Z,24,FALSE)</f>
        <v>0.5</v>
      </c>
      <c r="S49" s="1">
        <f>VLOOKUP($A49,Calculator!$A:$Z,25,FALSE)</f>
        <v>5</v>
      </c>
      <c r="T49" s="1">
        <f>VLOOKUP($A49,Calculator!$A:$Z,26,FALSE)</f>
        <v>3</v>
      </c>
      <c r="U49" s="32">
        <f>IF(R49="No Data","No Data",R49/(5-IF(R49&lt;5,VLOOKUP($A49,'Data Gaps'!$A:$N,9,FALSE),0)))</f>
        <v>0.1</v>
      </c>
      <c r="V49" s="1">
        <f>IF(S49="No Data", "No Data",S49/(8-IF(S49&lt;8,VLOOKUP($A49,'Data Gaps'!$A:$N,10,FALSE),0)))</f>
        <v>0.625</v>
      </c>
      <c r="W49" s="1">
        <f>IF(T49="No Data","No Data",T49/(5-IF(T49&lt;5,VLOOKUP($A49,'Data Gaps'!$A:$N,11,FALSE),0)))</f>
        <v>0.6</v>
      </c>
      <c r="X49" s="40">
        <f t="shared" si="6"/>
        <v>60.331878652811085</v>
      </c>
    </row>
    <row r="50" spans="1:24" x14ac:dyDescent="0.35">
      <c r="A50" s="1" t="s">
        <v>86</v>
      </c>
      <c r="B50" s="28" t="s">
        <v>87</v>
      </c>
      <c r="C50" s="1" t="s">
        <v>21</v>
      </c>
      <c r="D50" s="1" t="s">
        <v>22</v>
      </c>
      <c r="E50" s="28" t="s">
        <v>25</v>
      </c>
      <c r="F50" s="28" t="s">
        <v>161</v>
      </c>
      <c r="G50" s="28" t="str">
        <f>VLOOKUP($A50,'EBA2017'!$A:$G,7,FALSE)</f>
        <v>Two</v>
      </c>
      <c r="H50" s="32" t="str">
        <f>VLOOKUP($A50,Calculator!$A:$AE,27,FALSE)</f>
        <v>N/A</v>
      </c>
      <c r="I50" s="28">
        <f t="shared" si="0"/>
        <v>0</v>
      </c>
      <c r="J50" s="1" t="str">
        <f>VLOOKUP($A50,Calculator!$A:$AE,28,FALSE)</f>
        <v>N/A</v>
      </c>
      <c r="K50" s="28">
        <f t="shared" si="1"/>
        <v>0</v>
      </c>
      <c r="L50" s="28">
        <f t="shared" si="2"/>
        <v>0</v>
      </c>
      <c r="M50" s="32" t="str">
        <f>VLOOKUP($A50,Calculator!$A:$AE,29,FALSE)</f>
        <v>No data</v>
      </c>
      <c r="N50" s="28" t="str">
        <f t="shared" si="3"/>
        <v>No data</v>
      </c>
      <c r="O50" s="1" t="str">
        <f>VLOOKUP($A50,Calculator!$A:$AE,30,FALSE)</f>
        <v>No data</v>
      </c>
      <c r="P50" s="28" t="str">
        <f t="shared" si="4"/>
        <v>No data</v>
      </c>
      <c r="Q50" s="28" t="str">
        <f t="shared" si="5"/>
        <v>No data</v>
      </c>
      <c r="R50" s="32">
        <f>VLOOKUP($A50,Calculator!$A:$Z,24,FALSE)</f>
        <v>1</v>
      </c>
      <c r="S50" s="1">
        <f>VLOOKUP($A50,Calculator!$A:$Z,25,FALSE)</f>
        <v>3</v>
      </c>
      <c r="T50" s="1">
        <f>VLOOKUP($A50,Calculator!$A:$Z,26,FALSE)</f>
        <v>2.5</v>
      </c>
      <c r="U50" s="32">
        <f>IF(R50="No Data","No Data",R50/(5-IF(R50&lt;5,VLOOKUP($A50,'Data Gaps'!$A:$N,9,FALSE),0)))</f>
        <v>0.2</v>
      </c>
      <c r="V50" s="1">
        <f>IF(S50="No Data", "No Data",S50/(8-IF(S50&lt;8,VLOOKUP($A50,'Data Gaps'!$A:$N,10,FALSE),0)))</f>
        <v>0.375</v>
      </c>
      <c r="W50" s="1">
        <f>IF(T50="No Data","No Data",T50/(5-IF(T50&lt;5,VLOOKUP($A50,'Data Gaps'!$A:$N,11,FALSE),0)))</f>
        <v>0.5</v>
      </c>
      <c r="X50" s="40">
        <f t="shared" si="6"/>
        <v>26.875</v>
      </c>
    </row>
    <row r="51" spans="1:24" x14ac:dyDescent="0.35">
      <c r="A51" s="1" t="s">
        <v>92</v>
      </c>
      <c r="B51" s="28" t="s">
        <v>93</v>
      </c>
      <c r="C51" s="1" t="s">
        <v>32</v>
      </c>
      <c r="D51" s="1" t="s">
        <v>33</v>
      </c>
      <c r="E51" s="28" t="s">
        <v>9</v>
      </c>
      <c r="F51" s="28" t="s">
        <v>161</v>
      </c>
      <c r="G51" s="28" t="str">
        <f>VLOOKUP($A51,'EBA2017'!$A:$G,7,FALSE)</f>
        <v>Two</v>
      </c>
      <c r="H51" s="32" t="str">
        <f>VLOOKUP($A51,Calculator!$A:$AE,27,FALSE)</f>
        <v>N/A</v>
      </c>
      <c r="I51" s="28">
        <f t="shared" si="0"/>
        <v>0</v>
      </c>
      <c r="J51" s="1" t="str">
        <f>VLOOKUP($A51,Calculator!$A:$AE,28,FALSE)</f>
        <v>N/A</v>
      </c>
      <c r="K51" s="28">
        <f t="shared" si="1"/>
        <v>0</v>
      </c>
      <c r="L51" s="28">
        <f t="shared" si="2"/>
        <v>0</v>
      </c>
      <c r="M51" s="32" t="str">
        <f>VLOOKUP($A51,Calculator!$A:$AE,29,FALSE)</f>
        <v>N/A</v>
      </c>
      <c r="N51" s="28">
        <f t="shared" si="3"/>
        <v>0</v>
      </c>
      <c r="O51" s="1" t="str">
        <f>VLOOKUP($A51,Calculator!$A:$AE,30,FALSE)</f>
        <v>N/A</v>
      </c>
      <c r="P51" s="28">
        <f t="shared" si="4"/>
        <v>0</v>
      </c>
      <c r="Q51" s="28">
        <f t="shared" si="5"/>
        <v>0</v>
      </c>
      <c r="R51" s="32">
        <f>VLOOKUP($A51,Calculator!$A:$Z,24,FALSE)</f>
        <v>0</v>
      </c>
      <c r="S51" s="1">
        <f>VLOOKUP($A51,Calculator!$A:$Z,25,FALSE)</f>
        <v>0.33333333333333326</v>
      </c>
      <c r="T51" s="1">
        <f>VLOOKUP($A51,Calculator!$A:$Z,26,FALSE)</f>
        <v>0.5</v>
      </c>
      <c r="U51" s="32">
        <f>IF(R51="No Data","No Data",R51/(5-IF(R51&lt;5,VLOOKUP($A51,'Data Gaps'!$A:$N,9,FALSE),0)))</f>
        <v>0</v>
      </c>
      <c r="V51" s="1">
        <f>IF(S51="No Data", "No Data",S51/(8-IF(S51&lt;8,VLOOKUP($A51,'Data Gaps'!$A:$N,10,FALSE),0)))</f>
        <v>4.1666666666666657E-2</v>
      </c>
      <c r="W51" s="1">
        <f>IF(T51="No Data","No Data",T51/(5-IF(T51&lt;5,VLOOKUP($A51,'Data Gaps'!$A:$N,11,FALSE),0)))</f>
        <v>0.1</v>
      </c>
      <c r="X51" s="40">
        <f t="shared" si="6"/>
        <v>2.833333333333333</v>
      </c>
    </row>
    <row r="52" spans="1:24" x14ac:dyDescent="0.35">
      <c r="A52" s="1" t="s">
        <v>90</v>
      </c>
      <c r="B52" s="28" t="s">
        <v>91</v>
      </c>
      <c r="C52" s="1" t="s">
        <v>16</v>
      </c>
      <c r="D52" s="1" t="s">
        <v>17</v>
      </c>
      <c r="E52" s="28" t="s">
        <v>18</v>
      </c>
      <c r="F52" s="28" t="s">
        <v>159</v>
      </c>
      <c r="G52" s="28" t="str">
        <f>VLOOKUP($A52,'EBA2017'!$A:$G,7,FALSE)</f>
        <v>Two</v>
      </c>
      <c r="H52" s="32" t="str">
        <f>VLOOKUP($A52,Calculator!$A:$AE,27,FALSE)</f>
        <v>N/A</v>
      </c>
      <c r="I52" s="28">
        <f t="shared" si="0"/>
        <v>0</v>
      </c>
      <c r="J52" s="1" t="str">
        <f>VLOOKUP($A52,Calculator!$A:$AE,28,FALSE)</f>
        <v>N/A</v>
      </c>
      <c r="K52" s="28">
        <f t="shared" si="1"/>
        <v>0</v>
      </c>
      <c r="L52" s="28">
        <f t="shared" si="2"/>
        <v>0</v>
      </c>
      <c r="M52" s="32">
        <f>VLOOKUP($A52,Calculator!$A:$AE,29,FALSE)</f>
        <v>20</v>
      </c>
      <c r="N52" s="28">
        <f t="shared" si="3"/>
        <v>26.923076923076806</v>
      </c>
      <c r="O52" s="1">
        <f>VLOOKUP($A52,Calculator!$A:$AE,30,FALSE)</f>
        <v>14.624280806810114</v>
      </c>
      <c r="P52" s="28">
        <f t="shared" si="4"/>
        <v>60.499736312704798</v>
      </c>
      <c r="Q52" s="28">
        <f t="shared" si="5"/>
        <v>0.43711406617890802</v>
      </c>
      <c r="R52" s="32">
        <f>VLOOKUP($A52,Calculator!$A:$Z,24,FALSE)</f>
        <v>0.5</v>
      </c>
      <c r="S52" s="1">
        <f>VLOOKUP($A52,Calculator!$A:$Z,25,FALSE)</f>
        <v>2.3333333333333335</v>
      </c>
      <c r="T52" s="1">
        <f>VLOOKUP($A52,Calculator!$A:$Z,26,FALSE)</f>
        <v>4.5</v>
      </c>
      <c r="U52" s="32">
        <f>IF(R52="No Data","No Data",R52/(5-IF(R52&lt;5,VLOOKUP($A52,'Data Gaps'!$A:$N,9,FALSE),0)))</f>
        <v>0.1</v>
      </c>
      <c r="V52" s="1">
        <f>IF(S52="No Data", "No Data",S52/(8-IF(S52&lt;8,VLOOKUP($A52,'Data Gaps'!$A:$N,10,FALSE),0)))</f>
        <v>0.29166666666666669</v>
      </c>
      <c r="W52" s="1">
        <f>IF(T52="No Data","No Data",T52/(5-IF(T52&lt;5,VLOOKUP($A52,'Data Gaps'!$A:$N,11,FALSE),0)))</f>
        <v>0.9</v>
      </c>
      <c r="X52" s="40">
        <f t="shared" si="6"/>
        <v>34.575614656911497</v>
      </c>
    </row>
    <row r="53" spans="1:24" x14ac:dyDescent="0.35">
      <c r="A53" s="1" t="s">
        <v>80</v>
      </c>
      <c r="B53" s="28" t="s">
        <v>81</v>
      </c>
      <c r="C53" s="1" t="s">
        <v>16</v>
      </c>
      <c r="D53" s="1" t="s">
        <v>17</v>
      </c>
      <c r="E53" s="28" t="s">
        <v>18</v>
      </c>
      <c r="F53" s="28" t="s">
        <v>160</v>
      </c>
      <c r="G53" s="28" t="str">
        <f>VLOOKUP($A53,'EBA2017'!$A:$G,7,FALSE)</f>
        <v>Two</v>
      </c>
      <c r="H53" s="32">
        <f>VLOOKUP($A53,Calculator!$A:$AE,27,FALSE)</f>
        <v>240</v>
      </c>
      <c r="I53" s="28">
        <f t="shared" si="0"/>
        <v>14.197418651154376</v>
      </c>
      <c r="J53" s="1">
        <f>VLOOKUP($A53,Calculator!$A:$AE,28,FALSE)</f>
        <v>428.57142857142856</v>
      </c>
      <c r="K53" s="28">
        <f t="shared" si="1"/>
        <v>23.613293098976186</v>
      </c>
      <c r="L53" s="28">
        <f t="shared" si="2"/>
        <v>0.18905355875065283</v>
      </c>
      <c r="M53" s="32">
        <f>VLOOKUP($A53,Calculator!$A:$AE,29,FALSE)</f>
        <v>15</v>
      </c>
      <c r="N53" s="28">
        <f t="shared" si="3"/>
        <v>46.153846153846068</v>
      </c>
      <c r="O53" s="1">
        <f>VLOOKUP($A53,Calculator!$A:$AE,30,FALSE)</f>
        <v>8.2626929585283868</v>
      </c>
      <c r="P53" s="28">
        <f t="shared" si="4"/>
        <v>77.710995955782607</v>
      </c>
      <c r="Q53" s="28">
        <f t="shared" si="5"/>
        <v>0.61932421054814346</v>
      </c>
      <c r="R53" s="32">
        <f>VLOOKUP($A53,Calculator!$A:$Z,24,FALSE)</f>
        <v>4</v>
      </c>
      <c r="S53" s="1">
        <f>VLOOKUP($A53,Calculator!$A:$Z,25,FALSE)</f>
        <v>4.9999999999999991</v>
      </c>
      <c r="T53" s="1">
        <f>VLOOKUP($A53,Calculator!$A:$Z,26,FALSE)</f>
        <v>3</v>
      </c>
      <c r="U53" s="32">
        <f>IF(R53="No Data","No Data",R53/(5-IF(R53&lt;5,VLOOKUP($A53,'Data Gaps'!$A:$N,9,FALSE),0)))</f>
        <v>0.8</v>
      </c>
      <c r="V53" s="1">
        <f>IF(S53="No Data", "No Data",S53/(8-IF(S53&lt;8,VLOOKUP($A53,'Data Gaps'!$A:$N,10,FALSE),0)))</f>
        <v>0.62499999999999989</v>
      </c>
      <c r="W53" s="1">
        <f>IF(T53="No Data","No Data",T53/(5-IF(T53&lt;5,VLOOKUP($A53,'Data Gaps'!$A:$N,11,FALSE),0)))</f>
        <v>0.6</v>
      </c>
      <c r="X53" s="40">
        <f t="shared" si="6"/>
        <v>56.667555385975923</v>
      </c>
    </row>
    <row r="54" spans="1:24" x14ac:dyDescent="0.35">
      <c r="A54" s="1" t="s">
        <v>82</v>
      </c>
      <c r="B54" s="28" t="s">
        <v>83</v>
      </c>
      <c r="C54" s="1" t="s">
        <v>32</v>
      </c>
      <c r="D54" s="1" t="s">
        <v>33</v>
      </c>
      <c r="E54" s="28" t="s">
        <v>25</v>
      </c>
      <c r="F54" s="28" t="s">
        <v>161</v>
      </c>
      <c r="G54" s="28" t="str">
        <f>VLOOKUP($A54,'EBA2017'!$A:$G,7,FALSE)</f>
        <v>Two</v>
      </c>
      <c r="H54" s="32" t="str">
        <f>VLOOKUP($A54,Calculator!$A:$AE,27,FALSE)</f>
        <v>N/A</v>
      </c>
      <c r="I54" s="28">
        <f t="shared" si="0"/>
        <v>0</v>
      </c>
      <c r="J54" s="1" t="str">
        <f>VLOOKUP($A54,Calculator!$A:$AE,28,FALSE)</f>
        <v>N/A</v>
      </c>
      <c r="K54" s="28">
        <f t="shared" si="1"/>
        <v>0</v>
      </c>
      <c r="L54" s="28">
        <f t="shared" si="2"/>
        <v>0</v>
      </c>
      <c r="M54" s="32">
        <f>VLOOKUP($A54,Calculator!$A:$AE,29,FALSE)</f>
        <v>7</v>
      </c>
      <c r="N54" s="28">
        <f t="shared" si="3"/>
        <v>76.923076923076877</v>
      </c>
      <c r="O54" s="1">
        <f>VLOOKUP($A54,Calculator!$A:$AE,30,FALSE)</f>
        <v>0.16184715517764942</v>
      </c>
      <c r="P54" s="28">
        <f t="shared" si="4"/>
        <v>99.627813545225479</v>
      </c>
      <c r="Q54" s="28">
        <f t="shared" si="5"/>
        <v>0.88275445234151173</v>
      </c>
      <c r="R54" s="32">
        <f>VLOOKUP($A54,Calculator!$A:$Z,24,FALSE)</f>
        <v>4.5</v>
      </c>
      <c r="S54" s="1">
        <f>VLOOKUP($A54,Calculator!$A:$Z,25,FALSE)</f>
        <v>2.6666666666666661</v>
      </c>
      <c r="T54" s="1">
        <f>VLOOKUP($A54,Calculator!$A:$Z,26,FALSE)</f>
        <v>4.5</v>
      </c>
      <c r="U54" s="32">
        <f>IF(R54="No Data","No Data",R54/(5-IF(R54&lt;5,VLOOKUP($A54,'Data Gaps'!$A:$N,9,FALSE),0)))</f>
        <v>0.9</v>
      </c>
      <c r="V54" s="1">
        <f>IF(S54="No Data", "No Data",S54/(8-IF(S54&lt;8,VLOOKUP($A54,'Data Gaps'!$A:$N,10,FALSE),0)))</f>
        <v>0.33333333333333326</v>
      </c>
      <c r="W54" s="1">
        <f>IF(T54="No Data","No Data",T54/(5-IF(T54&lt;5,VLOOKUP($A54,'Data Gaps'!$A:$N,11,FALSE),0)))</f>
        <v>0.9</v>
      </c>
      <c r="X54" s="40">
        <f t="shared" si="6"/>
        <v>60.321755713496891</v>
      </c>
    </row>
    <row r="55" spans="1:24" x14ac:dyDescent="0.35">
      <c r="A55" s="1" t="s">
        <v>100</v>
      </c>
      <c r="B55" s="28" t="s">
        <v>101</v>
      </c>
      <c r="C55" s="1" t="s">
        <v>16</v>
      </c>
      <c r="D55" s="1" t="s">
        <v>17</v>
      </c>
      <c r="E55" s="28" t="s">
        <v>18</v>
      </c>
      <c r="F55" s="28" t="s">
        <v>161</v>
      </c>
      <c r="G55" s="28" t="str">
        <f>VLOOKUP($A55,'EBA2017'!$A:$G,7,FALSE)</f>
        <v>Two</v>
      </c>
      <c r="H55" s="32" t="str">
        <f>VLOOKUP($A55,Calculator!$A:$AE,27,FALSE)</f>
        <v>N/A</v>
      </c>
      <c r="I55" s="28">
        <f t="shared" si="0"/>
        <v>0</v>
      </c>
      <c r="J55" s="1" t="str">
        <f>VLOOKUP($A55,Calculator!$A:$AE,28,FALSE)</f>
        <v>N/A</v>
      </c>
      <c r="K55" s="28">
        <f t="shared" si="1"/>
        <v>0</v>
      </c>
      <c r="L55" s="28">
        <f t="shared" si="2"/>
        <v>0</v>
      </c>
      <c r="M55" s="32" t="str">
        <f>VLOOKUP($A55,Calculator!$A:$AE,29,FALSE)</f>
        <v>N/A</v>
      </c>
      <c r="N55" s="28">
        <f t="shared" si="3"/>
        <v>0</v>
      </c>
      <c r="O55" s="1" t="str">
        <f>VLOOKUP($A55,Calculator!$A:$AE,30,FALSE)</f>
        <v>N/A</v>
      </c>
      <c r="P55" s="28">
        <f t="shared" si="4"/>
        <v>0</v>
      </c>
      <c r="Q55" s="28">
        <f t="shared" si="5"/>
        <v>0</v>
      </c>
      <c r="R55" s="32">
        <f>VLOOKUP($A55,Calculator!$A:$Z,24,FALSE)</f>
        <v>0</v>
      </c>
      <c r="S55" s="1">
        <f>VLOOKUP($A55,Calculator!$A:$Z,25,FALSE)</f>
        <v>0.33333333333333326</v>
      </c>
      <c r="T55" s="1">
        <f>VLOOKUP($A55,Calculator!$A:$Z,26,FALSE)</f>
        <v>5</v>
      </c>
      <c r="U55" s="32">
        <f>IF(R55="No Data","No Data",R55/(5-IF(R55&lt;5,VLOOKUP($A55,'Data Gaps'!$A:$N,9,FALSE),0)))</f>
        <v>0</v>
      </c>
      <c r="V55" s="1">
        <f>IF(S55="No Data", "No Data",S55/(8-IF(S55&lt;8,VLOOKUP($A55,'Data Gaps'!$A:$N,10,FALSE),0)))</f>
        <v>4.1666666666666657E-2</v>
      </c>
      <c r="W55" s="1">
        <f>IF(T55="No Data","No Data",T55/(5-IF(T55&lt;5,VLOOKUP($A55,'Data Gaps'!$A:$N,11,FALSE),0)))</f>
        <v>1</v>
      </c>
      <c r="X55" s="40">
        <f t="shared" si="6"/>
        <v>20.833333333333336</v>
      </c>
    </row>
    <row r="56" spans="1:24" x14ac:dyDescent="0.35">
      <c r="A56" s="1" t="s">
        <v>102</v>
      </c>
      <c r="B56" s="28" t="s">
        <v>103</v>
      </c>
      <c r="C56" s="1" t="s">
        <v>16</v>
      </c>
      <c r="D56" s="1" t="s">
        <v>17</v>
      </c>
      <c r="E56" s="29" t="s">
        <v>9</v>
      </c>
      <c r="F56" s="28" t="s">
        <v>160</v>
      </c>
      <c r="G56" s="28" t="str">
        <f>VLOOKUP($A56,'EBA2017'!$A:$G,7,FALSE)</f>
        <v>Two</v>
      </c>
      <c r="H56" s="32">
        <f>VLOOKUP($A56,Calculator!$A:$AE,27,FALSE)</f>
        <v>105</v>
      </c>
      <c r="I56" s="28">
        <f t="shared" si="0"/>
        <v>63.279403744773703</v>
      </c>
      <c r="J56" s="1">
        <f>VLOOKUP($A56,Calculator!$A:$AE,28,FALSE)</f>
        <v>98.963692570948908</v>
      </c>
      <c r="K56" s="28">
        <f t="shared" si="1"/>
        <v>82.424776808327124</v>
      </c>
      <c r="L56" s="28">
        <f t="shared" si="2"/>
        <v>0.72852090276550419</v>
      </c>
      <c r="M56" s="32">
        <f>VLOOKUP($A56,Calculator!$A:$AE,29,FALSE)</f>
        <v>14</v>
      </c>
      <c r="N56" s="28">
        <f t="shared" si="3"/>
        <v>49.999999999999915</v>
      </c>
      <c r="O56" s="1">
        <f>VLOOKUP($A56,Calculator!$A:$AE,30,FALSE)</f>
        <v>9.8963692570948911</v>
      </c>
      <c r="P56" s="28">
        <f t="shared" si="4"/>
        <v>73.29108891088265</v>
      </c>
      <c r="Q56" s="28">
        <f t="shared" si="5"/>
        <v>0.61645544455441281</v>
      </c>
      <c r="R56" s="32">
        <f>VLOOKUP($A56,Calculator!$A:$Z,24,FALSE)</f>
        <v>0.5</v>
      </c>
      <c r="S56" s="1">
        <f>VLOOKUP($A56,Calculator!$A:$Z,25,FALSE)</f>
        <v>5.6666666666666679</v>
      </c>
      <c r="T56" s="1">
        <f>VLOOKUP($A56,Calculator!$A:$Z,26,FALSE)</f>
        <v>5</v>
      </c>
      <c r="U56" s="32">
        <f>IF(R56="No Data","No Data",R56/(5-IF(R56&lt;5,VLOOKUP($A56,'Data Gaps'!$A:$N,9,FALSE),0)))</f>
        <v>0.1</v>
      </c>
      <c r="V56" s="1">
        <f>IF(S56="No Data", "No Data",S56/(8-IF(S56&lt;8,VLOOKUP($A56,'Data Gaps'!$A:$N,10,FALSE),0)))</f>
        <v>0.70833333333333348</v>
      </c>
      <c r="W56" s="1">
        <f>IF(T56="No Data","No Data",T56/(5-IF(T56&lt;5,VLOOKUP($A56,'Data Gaps'!$A:$N,11,FALSE),0)))</f>
        <v>1</v>
      </c>
      <c r="X56" s="40">
        <f t="shared" si="6"/>
        <v>63.066193613065003</v>
      </c>
    </row>
    <row r="57" spans="1:24" x14ac:dyDescent="0.35">
      <c r="A57" s="1" t="s">
        <v>98</v>
      </c>
      <c r="B57" s="28" t="s">
        <v>99</v>
      </c>
      <c r="C57" s="1" t="s">
        <v>21</v>
      </c>
      <c r="D57" s="1" t="s">
        <v>22</v>
      </c>
      <c r="E57" s="28" t="s">
        <v>9</v>
      </c>
      <c r="F57" s="28" t="s">
        <v>160</v>
      </c>
      <c r="G57" s="28" t="str">
        <f>VLOOKUP($A57,'EBA2017'!$A:$G,7,FALSE)</f>
        <v>Two</v>
      </c>
      <c r="H57" s="32" t="str">
        <f>VLOOKUP($A57,Calculator!$A:$AE,27,FALSE)</f>
        <v>N/A</v>
      </c>
      <c r="I57" s="28">
        <f t="shared" si="0"/>
        <v>0</v>
      </c>
      <c r="J57" s="1" t="str">
        <f>VLOOKUP($A57,Calculator!$A:$AE,28,FALSE)</f>
        <v>N/A</v>
      </c>
      <c r="K57" s="28">
        <f t="shared" si="1"/>
        <v>0</v>
      </c>
      <c r="L57" s="28">
        <f t="shared" si="2"/>
        <v>0</v>
      </c>
      <c r="M57" s="32">
        <f>VLOOKUP($A57,Calculator!$A:$AE,29,FALSE)</f>
        <v>10</v>
      </c>
      <c r="N57" s="28">
        <f t="shared" si="3"/>
        <v>65.38461538461533</v>
      </c>
      <c r="O57" s="1">
        <f>VLOOKUP($A57,Calculator!$A:$AE,30,FALSE)</f>
        <v>5.6102788110494979</v>
      </c>
      <c r="P57" s="28">
        <f t="shared" si="4"/>
        <v>84.887095643781507</v>
      </c>
      <c r="Q57" s="28">
        <f t="shared" si="5"/>
        <v>0.75135855514198424</v>
      </c>
      <c r="R57" s="32">
        <f>VLOOKUP($A57,Calculator!$A:$Z,24,FALSE)</f>
        <v>1</v>
      </c>
      <c r="S57" s="1">
        <f>VLOOKUP($A57,Calculator!$A:$Z,25,FALSE)</f>
        <v>0</v>
      </c>
      <c r="T57" s="1">
        <f>VLOOKUP($A57,Calculator!$A:$Z,26,FALSE)</f>
        <v>3.5</v>
      </c>
      <c r="U57" s="32">
        <f>IF(R57="No Data","No Data",R57/(5-IF(R57&lt;5,VLOOKUP($A57,'Data Gaps'!$A:$N,9,FALSE),0)))</f>
        <v>0.2</v>
      </c>
      <c r="V57" s="1">
        <f>IF(S57="No Data", "No Data",S57/(8-IF(S57&lt;8,VLOOKUP($A57,'Data Gaps'!$A:$N,10,FALSE),0)))</f>
        <v>0</v>
      </c>
      <c r="W57" s="1">
        <f>IF(T57="No Data","No Data",T57/(5-IF(T57&lt;5,VLOOKUP($A57,'Data Gaps'!$A:$N,11,FALSE),0)))</f>
        <v>0.7</v>
      </c>
      <c r="X57" s="40">
        <f t="shared" si="6"/>
        <v>33.027171102839688</v>
      </c>
    </row>
    <row r="58" spans="1:24" x14ac:dyDescent="0.35">
      <c r="A58" s="1" t="s">
        <v>106</v>
      </c>
      <c r="B58" s="28" t="s">
        <v>107</v>
      </c>
      <c r="C58" s="1" t="s">
        <v>32</v>
      </c>
      <c r="D58" s="1" t="s">
        <v>33</v>
      </c>
      <c r="E58" s="29" t="s">
        <v>9</v>
      </c>
      <c r="F58" s="28" t="s">
        <v>159</v>
      </c>
      <c r="G58" s="28" t="str">
        <f>VLOOKUP($A58,'EBA2017'!$A:$G,7,FALSE)</f>
        <v>Two</v>
      </c>
      <c r="H58" s="32">
        <f>VLOOKUP($A58,Calculator!$A:$AE,27,FALSE)</f>
        <v>30</v>
      </c>
      <c r="I58" s="28">
        <f t="shared" si="0"/>
        <v>90.547173241228876</v>
      </c>
      <c r="J58" s="1">
        <f>VLOOKUP($A58,Calculator!$A:$AE,28,FALSE)</f>
        <v>12.555584103351118</v>
      </c>
      <c r="K58" s="28">
        <f t="shared" si="1"/>
        <v>97.842464284844866</v>
      </c>
      <c r="L58" s="28">
        <f t="shared" si="2"/>
        <v>0.94194818763036858</v>
      </c>
      <c r="M58" s="32">
        <f>VLOOKUP($A58,Calculator!$A:$AE,29,FALSE)</f>
        <v>10.5</v>
      </c>
      <c r="N58" s="28">
        <f t="shared" si="3"/>
        <v>63.461538461538403</v>
      </c>
      <c r="O58" s="1">
        <f>VLOOKUP($A58,Calculator!$A:$AE,30,FALSE)</f>
        <v>3.0133401848042678E-2</v>
      </c>
      <c r="P58" s="28">
        <f t="shared" si="4"/>
        <v>99.984164767779532</v>
      </c>
      <c r="Q58" s="28">
        <f t="shared" si="5"/>
        <v>0.81722851614658965</v>
      </c>
      <c r="R58" s="32">
        <f>VLOOKUP($A58,Calculator!$A:$Z,24,FALSE)</f>
        <v>2</v>
      </c>
      <c r="S58" s="1">
        <f>VLOOKUP($A58,Calculator!$A:$Z,25,FALSE)</f>
        <v>5.1666666666666661</v>
      </c>
      <c r="T58" s="1">
        <f>VLOOKUP($A58,Calculator!$A:$Z,26,FALSE)</f>
        <v>3</v>
      </c>
      <c r="U58" s="32">
        <f>IF(R58="No Data","No Data",R58/(5-IF(R58&lt;5,VLOOKUP($A58,'Data Gaps'!$A:$N,9,FALSE),0)))</f>
        <v>0.4</v>
      </c>
      <c r="V58" s="1">
        <f>IF(S58="No Data", "No Data",S58/(8-IF(S58&lt;8,VLOOKUP($A58,'Data Gaps'!$A:$N,10,FALSE),0)))</f>
        <v>0.64583333333333326</v>
      </c>
      <c r="W58" s="1">
        <f>IF(T58="No Data","No Data",T58/(5-IF(T58&lt;5,VLOOKUP($A58,'Data Gaps'!$A:$N,11,FALSE),0)))</f>
        <v>0.6</v>
      </c>
      <c r="X58" s="40">
        <f t="shared" si="6"/>
        <v>68.100200742205814</v>
      </c>
    </row>
    <row r="59" spans="1:24" x14ac:dyDescent="0.35">
      <c r="A59" s="1" t="s">
        <v>124</v>
      </c>
      <c r="B59" s="28" t="s">
        <v>125</v>
      </c>
      <c r="C59" s="1" t="s">
        <v>16</v>
      </c>
      <c r="D59" s="1" t="s">
        <v>17</v>
      </c>
      <c r="E59" s="29" t="s">
        <v>9</v>
      </c>
      <c r="F59" s="28" t="s">
        <v>160</v>
      </c>
      <c r="G59" s="28" t="str">
        <f>VLOOKUP($A59,'EBA2017'!$A:$G,7,FALSE)</f>
        <v>Two</v>
      </c>
      <c r="H59" s="32">
        <f>VLOOKUP($A59,Calculator!$A:$AE,27,FALSE)</f>
        <v>45</v>
      </c>
      <c r="I59" s="28">
        <f t="shared" si="0"/>
        <v>85.093619341937838</v>
      </c>
      <c r="J59" s="1">
        <f>VLOOKUP($A59,Calculator!$A:$AE,28,FALSE)</f>
        <v>146.61390972974104</v>
      </c>
      <c r="K59" s="28">
        <f t="shared" si="1"/>
        <v>73.922609947239678</v>
      </c>
      <c r="L59" s="28">
        <f t="shared" si="2"/>
        <v>0.79508114644588757</v>
      </c>
      <c r="M59" s="32">
        <f>VLOOKUP($A59,Calculator!$A:$AE,29,FALSE)</f>
        <v>7</v>
      </c>
      <c r="N59" s="28">
        <f t="shared" si="3"/>
        <v>76.923076923076877</v>
      </c>
      <c r="O59" s="1">
        <f>VLOOKUP($A59,Calculator!$A:$AE,30,FALSE)</f>
        <v>29.811494978380676</v>
      </c>
      <c r="P59" s="28">
        <f t="shared" si="4"/>
        <v>19.410767238335403</v>
      </c>
      <c r="Q59" s="28">
        <f t="shared" si="5"/>
        <v>0.48166922080706143</v>
      </c>
      <c r="R59" s="32">
        <f>VLOOKUP($A59,Calculator!$A:$Z,24,FALSE)</f>
        <v>2.5</v>
      </c>
      <c r="S59" s="1">
        <f>VLOOKUP($A59,Calculator!$A:$Z,25,FALSE)</f>
        <v>5.3333333333333321</v>
      </c>
      <c r="T59" s="1">
        <f>VLOOKUP($A59,Calculator!$A:$Z,26,FALSE)</f>
        <v>1.5</v>
      </c>
      <c r="U59" s="32">
        <f>IF(R59="No Data","No Data",R59/(5-IF(R59&lt;5,VLOOKUP($A59,'Data Gaps'!$A:$N,9,FALSE),0)))</f>
        <v>0.5</v>
      </c>
      <c r="V59" s="1">
        <f>IF(S59="No Data", "No Data",S59/(8-IF(S59&lt;8,VLOOKUP($A59,'Data Gaps'!$A:$N,10,FALSE),0)))</f>
        <v>0.66666666666666652</v>
      </c>
      <c r="W59" s="1">
        <f>IF(T59="No Data","No Data",T59/(5-IF(T59&lt;5,VLOOKUP($A59,'Data Gaps'!$A:$N,11,FALSE),0)))</f>
        <v>0.3</v>
      </c>
      <c r="X59" s="40">
        <f t="shared" si="6"/>
        <v>54.868340678392315</v>
      </c>
    </row>
    <row r="60" spans="1:24" x14ac:dyDescent="0.35">
      <c r="A60" s="1" t="s">
        <v>130</v>
      </c>
      <c r="B60" s="28" t="s">
        <v>131</v>
      </c>
      <c r="C60" s="1" t="s">
        <v>32</v>
      </c>
      <c r="D60" s="1" t="s">
        <v>33</v>
      </c>
      <c r="E60" s="29" t="s">
        <v>25</v>
      </c>
      <c r="F60" s="28" t="s">
        <v>161</v>
      </c>
      <c r="G60" s="28" t="str">
        <f>VLOOKUP($A60,'EBA2017'!$A:$G,7,FALSE)</f>
        <v>Two</v>
      </c>
      <c r="H60" s="32" t="str">
        <f>VLOOKUP($A60,Calculator!$A:$AE,27,FALSE)</f>
        <v>N/A</v>
      </c>
      <c r="I60" s="28">
        <f t="shared" si="0"/>
        <v>0</v>
      </c>
      <c r="J60" s="1" t="str">
        <f>VLOOKUP($A60,Calculator!$A:$AE,28,FALSE)</f>
        <v>N/A</v>
      </c>
      <c r="K60" s="28">
        <f t="shared" si="1"/>
        <v>0</v>
      </c>
      <c r="L60" s="28">
        <f t="shared" si="2"/>
        <v>0</v>
      </c>
      <c r="M60" s="32">
        <f>VLOOKUP($A60,Calculator!$A:$AE,29,FALSE)</f>
        <v>1</v>
      </c>
      <c r="N60" s="28">
        <f t="shared" si="3"/>
        <v>100</v>
      </c>
      <c r="O60" s="1">
        <f>VLOOKUP($A60,Calculator!$A:$AE,30,FALSE)</f>
        <v>0.23118329689713996</v>
      </c>
      <c r="P60" s="28">
        <f t="shared" si="4"/>
        <v>99.440224791247047</v>
      </c>
      <c r="Q60" s="28">
        <f t="shared" si="5"/>
        <v>0.99720112395623517</v>
      </c>
      <c r="R60" s="32">
        <f>VLOOKUP($A60,Calculator!$A:$Z,24,FALSE)</f>
        <v>3</v>
      </c>
      <c r="S60" s="1">
        <f>VLOOKUP($A60,Calculator!$A:$Z,25,FALSE)</f>
        <v>1.833333333333333</v>
      </c>
      <c r="T60" s="1">
        <f>VLOOKUP($A60,Calculator!$A:$Z,26,FALSE)</f>
        <v>5</v>
      </c>
      <c r="U60" s="32">
        <f>IF(R60="No Data","No Data",R60/(5-IF(R60&lt;5,VLOOKUP($A60,'Data Gaps'!$A:$N,9,FALSE),0)))</f>
        <v>0.6</v>
      </c>
      <c r="V60" s="1">
        <f>IF(S60="No Data", "No Data",S60/(8-IF(S60&lt;8,VLOOKUP($A60,'Data Gaps'!$A:$N,10,FALSE),0)))</f>
        <v>0.22916666666666663</v>
      </c>
      <c r="W60" s="1">
        <f>IF(T60="No Data","No Data",T60/(5-IF(T60&lt;5,VLOOKUP($A60,'Data Gaps'!$A:$N,11,FALSE),0)))</f>
        <v>1</v>
      </c>
      <c r="X60" s="40">
        <f t="shared" si="6"/>
        <v>56.527355812458033</v>
      </c>
    </row>
    <row r="61" spans="1:24" x14ac:dyDescent="0.35">
      <c r="A61" s="1" t="s">
        <v>128</v>
      </c>
      <c r="B61" s="28" t="s">
        <v>129</v>
      </c>
      <c r="C61" s="1" t="s">
        <v>16</v>
      </c>
      <c r="D61" s="1" t="s">
        <v>17</v>
      </c>
      <c r="E61" s="29" t="s">
        <v>18</v>
      </c>
      <c r="F61" s="28" t="s">
        <v>159</v>
      </c>
      <c r="G61" s="28" t="str">
        <f>VLOOKUP($A61,'EBA2017'!$A:$G,7,FALSE)</f>
        <v>Two</v>
      </c>
      <c r="H61" s="32" t="str">
        <f>VLOOKUP($A61,Calculator!$A:$AE,27,FALSE)</f>
        <v>N/A</v>
      </c>
      <c r="I61" s="28">
        <f t="shared" si="0"/>
        <v>0</v>
      </c>
      <c r="J61" s="1" t="str">
        <f>VLOOKUP($A61,Calculator!$A:$AE,28,FALSE)</f>
        <v>N/A</v>
      </c>
      <c r="K61" s="28">
        <f t="shared" si="1"/>
        <v>0</v>
      </c>
      <c r="L61" s="28">
        <f t="shared" si="2"/>
        <v>0</v>
      </c>
      <c r="M61" s="32">
        <f>VLOOKUP($A61,Calculator!$A:$AE,29,FALSE)</f>
        <v>3</v>
      </c>
      <c r="N61" s="28">
        <f t="shared" si="3"/>
        <v>92.307692307692292</v>
      </c>
      <c r="O61" s="1">
        <f>VLOOKUP($A61,Calculator!$A:$AE,30,FALSE)</f>
        <v>20.716422168595752</v>
      </c>
      <c r="P61" s="28">
        <f t="shared" si="4"/>
        <v>44.017463449280079</v>
      </c>
      <c r="Q61" s="28">
        <f t="shared" si="5"/>
        <v>0.68162577878486186</v>
      </c>
      <c r="R61" s="32">
        <f>VLOOKUP($A61,Calculator!$A:$Z,24,FALSE)</f>
        <v>0.5</v>
      </c>
      <c r="S61" s="1">
        <f>VLOOKUP($A61,Calculator!$A:$Z,25,FALSE)</f>
        <v>3.5</v>
      </c>
      <c r="T61" s="1">
        <f>VLOOKUP($A61,Calculator!$A:$Z,26,FALSE)</f>
        <v>5</v>
      </c>
      <c r="U61" s="32">
        <f>IF(R61="No Data","No Data",R61/(5-IF(R61&lt;5,VLOOKUP($A61,'Data Gaps'!$A:$N,9,FALSE),0)))</f>
        <v>0.1</v>
      </c>
      <c r="V61" s="1">
        <f>IF(S61="No Data", "No Data",S61/(8-IF(S61&lt;8,VLOOKUP($A61,'Data Gaps'!$A:$N,10,FALSE),0)))</f>
        <v>0.4375</v>
      </c>
      <c r="W61" s="1">
        <f>IF(T61="No Data","No Data",T61/(5-IF(T61&lt;5,VLOOKUP($A61,'Data Gaps'!$A:$N,11,FALSE),0)))</f>
        <v>1</v>
      </c>
      <c r="X61" s="40">
        <f t="shared" si="6"/>
        <v>44.382515575697241</v>
      </c>
    </row>
    <row r="62" spans="1:24" x14ac:dyDescent="0.35">
      <c r="A62" s="1" t="s">
        <v>134</v>
      </c>
      <c r="B62" s="28" t="s">
        <v>135</v>
      </c>
      <c r="C62" s="1" t="s">
        <v>16</v>
      </c>
      <c r="D62" s="1" t="s">
        <v>17</v>
      </c>
      <c r="E62" s="28" t="s">
        <v>18</v>
      </c>
      <c r="F62" s="28" t="s">
        <v>160</v>
      </c>
      <c r="G62" s="28" t="str">
        <f>VLOOKUP($A62,'EBA2017'!$A:$G,7,FALSE)</f>
        <v>Two</v>
      </c>
      <c r="H62" s="32" t="str">
        <f>VLOOKUP($A62,Calculator!$A:$AE,27,FALSE)</f>
        <v>No practice</v>
      </c>
      <c r="I62" s="28">
        <f t="shared" si="0"/>
        <v>0</v>
      </c>
      <c r="J62" s="1" t="str">
        <f>VLOOKUP($A62,Calculator!$A:$AE,28,FALSE)</f>
        <v>No practice</v>
      </c>
      <c r="K62" s="28">
        <f t="shared" si="1"/>
        <v>0</v>
      </c>
      <c r="L62" s="28">
        <f t="shared" si="2"/>
        <v>0</v>
      </c>
      <c r="M62" s="32">
        <f>VLOOKUP($A62,Calculator!$A:$AE,29,FALSE)</f>
        <v>8.5</v>
      </c>
      <c r="N62" s="28">
        <f t="shared" si="3"/>
        <v>71.153846153846118</v>
      </c>
      <c r="O62" s="1">
        <f>VLOOKUP($A62,Calculator!$A:$AE,30,FALSE)</f>
        <v>16.308457375695205</v>
      </c>
      <c r="P62" s="28">
        <f t="shared" si="4"/>
        <v>55.943200915697169</v>
      </c>
      <c r="Q62" s="28">
        <f t="shared" si="5"/>
        <v>0.6354852353477165</v>
      </c>
      <c r="R62" s="32">
        <f>VLOOKUP($A62,Calculator!$A:$Z,24,FALSE)</f>
        <v>2</v>
      </c>
      <c r="S62" s="1">
        <f>VLOOKUP($A62,Calculator!$A:$Z,25,FALSE)</f>
        <v>5</v>
      </c>
      <c r="T62" s="1">
        <f>VLOOKUP($A62,Calculator!$A:$Z,26,FALSE)</f>
        <v>5</v>
      </c>
      <c r="U62" s="32">
        <f>IF(R62="No Data","No Data",R62/(5-IF(R62&lt;5,VLOOKUP($A62,'Data Gaps'!$A:$N,9,FALSE),0)))</f>
        <v>0.4</v>
      </c>
      <c r="V62" s="1">
        <f>IF(S62="No Data", "No Data",S62/(8-IF(S62&lt;8,VLOOKUP($A62,'Data Gaps'!$A:$N,10,FALSE),0)))</f>
        <v>0.625</v>
      </c>
      <c r="W62" s="1">
        <f>IF(T62="No Data","No Data",T62/(5-IF(T62&lt;5,VLOOKUP($A62,'Data Gaps'!$A:$N,11,FALSE),0)))</f>
        <v>1</v>
      </c>
      <c r="X62" s="40">
        <f t="shared" si="6"/>
        <v>53.209704706954334</v>
      </c>
    </row>
    <row r="63" spans="1:24" x14ac:dyDescent="0.35">
      <c r="A63" s="1" t="s">
        <v>138</v>
      </c>
      <c r="B63" s="28" t="s">
        <v>139</v>
      </c>
      <c r="C63" s="1" t="s">
        <v>21</v>
      </c>
      <c r="D63" s="1" t="s">
        <v>22</v>
      </c>
      <c r="E63" s="28" t="s">
        <v>40</v>
      </c>
      <c r="F63" s="28" t="s">
        <v>160</v>
      </c>
      <c r="G63" s="28" t="str">
        <f>VLOOKUP($A63,'EBA2017'!$A:$G,7,FALSE)</f>
        <v>Two</v>
      </c>
      <c r="H63" s="32" t="str">
        <f>VLOOKUP($A63,Calculator!$A:$AE,27,FALSE)</f>
        <v>N/A</v>
      </c>
      <c r="I63" s="28">
        <f t="shared" si="0"/>
        <v>0</v>
      </c>
      <c r="J63" s="1" t="str">
        <f>VLOOKUP($A63,Calculator!$A:$AE,28,FALSE)</f>
        <v>N/A</v>
      </c>
      <c r="K63" s="28">
        <f t="shared" si="1"/>
        <v>0</v>
      </c>
      <c r="L63" s="28">
        <f t="shared" si="2"/>
        <v>0</v>
      </c>
      <c r="M63" s="32" t="str">
        <f>VLOOKUP($A63,Calculator!$A:$AE,29,FALSE)</f>
        <v>N/A</v>
      </c>
      <c r="N63" s="28">
        <f t="shared" si="3"/>
        <v>0</v>
      </c>
      <c r="O63" s="1" t="str">
        <f>VLOOKUP($A63,Calculator!$A:$AE,30,FALSE)</f>
        <v>N/A</v>
      </c>
      <c r="P63" s="28">
        <f t="shared" si="4"/>
        <v>0</v>
      </c>
      <c r="Q63" s="28">
        <f t="shared" si="5"/>
        <v>0</v>
      </c>
      <c r="R63" s="32">
        <f>VLOOKUP($A63,Calculator!$A:$Z,24,FALSE)</f>
        <v>0</v>
      </c>
      <c r="S63" s="1">
        <f>VLOOKUP($A63,Calculator!$A:$Z,25,FALSE)</f>
        <v>0</v>
      </c>
      <c r="T63" s="1">
        <f>VLOOKUP($A63,Calculator!$A:$Z,26,FALSE)</f>
        <v>5</v>
      </c>
      <c r="U63" s="32">
        <f>IF(R63="No Data","No Data",R63/(5-IF(R63&lt;5,VLOOKUP($A63,'Data Gaps'!$A:$N,9,FALSE),0)))</f>
        <v>0</v>
      </c>
      <c r="V63" s="1">
        <f>IF(S63="No Data", "No Data",S63/(8-IF(S63&lt;8,VLOOKUP($A63,'Data Gaps'!$A:$N,10,FALSE),0)))</f>
        <v>0</v>
      </c>
      <c r="W63" s="1">
        <f>IF(T63="No Data","No Data",T63/(5-IF(T63&lt;5,VLOOKUP($A63,'Data Gaps'!$A:$N,11,FALSE),0)))</f>
        <v>1</v>
      </c>
      <c r="X63" s="40">
        <f t="shared" si="6"/>
        <v>20</v>
      </c>
    </row>
    <row r="64" spans="1:24" x14ac:dyDescent="0.35">
      <c r="A64" s="1" t="s">
        <v>140</v>
      </c>
      <c r="B64" s="28" t="s">
        <v>141</v>
      </c>
      <c r="C64" s="1" t="s">
        <v>32</v>
      </c>
      <c r="D64" s="1" t="s">
        <v>33</v>
      </c>
      <c r="E64" s="28" t="s">
        <v>9</v>
      </c>
      <c r="F64" s="28" t="s">
        <v>162</v>
      </c>
      <c r="G64" s="28" t="str">
        <f>VLOOKUP($A64,'EBA2017'!$A:$G,7,FALSE)</f>
        <v>Two</v>
      </c>
      <c r="H64" s="32">
        <f>VLOOKUP($A64,Calculator!$A:$AE,27,FALSE)</f>
        <v>11</v>
      </c>
      <c r="I64" s="28">
        <f t="shared" si="0"/>
        <v>97.45500818033085</v>
      </c>
      <c r="J64" s="1">
        <f>VLOOKUP($A64,Calculator!$A:$AE,28,FALSE)</f>
        <v>0.46372010741874092</v>
      </c>
      <c r="K64" s="28">
        <f t="shared" si="1"/>
        <v>100</v>
      </c>
      <c r="L64" s="28">
        <f t="shared" si="2"/>
        <v>0.9872750409016543</v>
      </c>
      <c r="M64" s="32">
        <f>VLOOKUP($A64,Calculator!$A:$AE,29,FALSE)</f>
        <v>10</v>
      </c>
      <c r="N64" s="28">
        <f t="shared" si="3"/>
        <v>65.38461538461533</v>
      </c>
      <c r="O64" s="1">
        <f>VLOOKUP($A64,Calculator!$A:$AE,30,FALSE)</f>
        <v>3.4779008056405569</v>
      </c>
      <c r="P64" s="28">
        <f t="shared" si="4"/>
        <v>90.656238880276248</v>
      </c>
      <c r="Q64" s="28">
        <f t="shared" si="5"/>
        <v>0.78020427132445791</v>
      </c>
      <c r="R64" s="32">
        <f>VLOOKUP($A64,Calculator!$A:$Z,24,FALSE)</f>
        <v>2</v>
      </c>
      <c r="S64" s="1">
        <f>VLOOKUP($A64,Calculator!$A:$Z,25,FALSE)</f>
        <v>4.333333333333333</v>
      </c>
      <c r="T64" s="1">
        <f>VLOOKUP($A64,Calculator!$A:$Z,26,FALSE)</f>
        <v>5</v>
      </c>
      <c r="U64" s="32">
        <f>IF(R64="No Data","No Data",R64/(5-IF(R64&lt;5,VLOOKUP($A64,'Data Gaps'!$A:$N,9,FALSE),0)))</f>
        <v>0.4</v>
      </c>
      <c r="V64" s="1">
        <f>IF(S64="No Data", "No Data",S64/(8-IF(S64&lt;8,VLOOKUP($A64,'Data Gaps'!$A:$N,10,FALSE),0)))</f>
        <v>0.54166666666666663</v>
      </c>
      <c r="W64" s="1">
        <f>IF(T64="No Data","No Data",T64/(5-IF(T64&lt;5,VLOOKUP($A64,'Data Gaps'!$A:$N,11,FALSE),0)))</f>
        <v>1</v>
      </c>
      <c r="X64" s="40">
        <f t="shared" si="6"/>
        <v>74.182919577855571</v>
      </c>
    </row>
    <row r="65" spans="1:24" x14ac:dyDescent="0.35">
      <c r="A65" s="1" t="s">
        <v>142</v>
      </c>
      <c r="B65" s="28" t="s">
        <v>143</v>
      </c>
      <c r="C65" s="1" t="s">
        <v>16</v>
      </c>
      <c r="D65" s="1" t="s">
        <v>17</v>
      </c>
      <c r="E65" s="28" t="s">
        <v>9</v>
      </c>
      <c r="F65" s="28" t="s">
        <v>162</v>
      </c>
      <c r="G65" s="28" t="str">
        <f>VLOOKUP($A65,'EBA2017'!$A:$G,7,FALSE)</f>
        <v>Two</v>
      </c>
      <c r="H65" s="32" t="str">
        <f>VLOOKUP($A65,Calculator!$A:$AE,27,FALSE)</f>
        <v>N/A</v>
      </c>
      <c r="I65" s="28">
        <f t="shared" si="0"/>
        <v>0</v>
      </c>
      <c r="J65" s="1" t="str">
        <f>VLOOKUP($A65,Calculator!$A:$AE,28,FALSE)</f>
        <v>N/A</v>
      </c>
      <c r="K65" s="28">
        <f t="shared" si="1"/>
        <v>0</v>
      </c>
      <c r="L65" s="28">
        <f t="shared" si="2"/>
        <v>0</v>
      </c>
      <c r="M65" s="32">
        <f>VLOOKUP($A65,Calculator!$A:$AE,29,FALSE)</f>
        <v>16</v>
      </c>
      <c r="N65" s="28">
        <f t="shared" si="3"/>
        <v>42.307692307692214</v>
      </c>
      <c r="O65" s="1">
        <f>VLOOKUP($A65,Calculator!$A:$AE,30,FALSE)</f>
        <v>7.6096591854960982</v>
      </c>
      <c r="P65" s="28">
        <f t="shared" si="4"/>
        <v>79.477777157490493</v>
      </c>
      <c r="Q65" s="28">
        <f t="shared" si="5"/>
        <v>0.60892734732591347</v>
      </c>
      <c r="R65" s="32">
        <f>VLOOKUP($A65,Calculator!$A:$Z,24,FALSE)</f>
        <v>0.5</v>
      </c>
      <c r="S65" s="1">
        <f>VLOOKUP($A65,Calculator!$A:$Z,25,FALSE)</f>
        <v>0.33333333333333326</v>
      </c>
      <c r="T65" s="1">
        <f>VLOOKUP($A65,Calculator!$A:$Z,26,FALSE)</f>
        <v>5</v>
      </c>
      <c r="U65" s="32">
        <f>IF(R65="No Data","No Data",R65/(5-IF(R65&lt;5,VLOOKUP($A65,'Data Gaps'!$A:$N,9,FALSE),0)))</f>
        <v>0.1</v>
      </c>
      <c r="V65" s="1">
        <f>IF(S65="No Data", "No Data",S65/(8-IF(S65&lt;8,VLOOKUP($A65,'Data Gaps'!$A:$N,10,FALSE),0)))</f>
        <v>4.1666666666666657E-2</v>
      </c>
      <c r="W65" s="1">
        <f>IF(T65="No Data","No Data",T65/(5-IF(T65&lt;5,VLOOKUP($A65,'Data Gaps'!$A:$N,11,FALSE),0)))</f>
        <v>1</v>
      </c>
      <c r="X65" s="40">
        <f t="shared" si="6"/>
        <v>35.011880279851596</v>
      </c>
    </row>
    <row r="66" spans="1:24" x14ac:dyDescent="0.35">
      <c r="A66" s="1" t="s">
        <v>144</v>
      </c>
      <c r="B66" s="28" t="s">
        <v>145</v>
      </c>
      <c r="C66" s="1" t="s">
        <v>16</v>
      </c>
      <c r="D66" s="1" t="s">
        <v>17</v>
      </c>
      <c r="E66" s="28" t="s">
        <v>18</v>
      </c>
      <c r="F66" s="28" t="s">
        <v>160</v>
      </c>
      <c r="G66" s="28" t="str">
        <f>VLOOKUP($A66,'EBA2017'!$A:$G,7,FALSE)</f>
        <v>Two</v>
      </c>
      <c r="H66" s="32" t="str">
        <f>VLOOKUP($A66,Calculator!$A:$AE,27,FALSE)</f>
        <v>N/A</v>
      </c>
      <c r="I66" s="28">
        <f t="shared" si="0"/>
        <v>0</v>
      </c>
      <c r="J66" s="1" t="str">
        <f>VLOOKUP($A66,Calculator!$A:$AE,28,FALSE)</f>
        <v>N/A</v>
      </c>
      <c r="K66" s="28">
        <f t="shared" si="1"/>
        <v>0</v>
      </c>
      <c r="L66" s="28">
        <f t="shared" si="2"/>
        <v>0</v>
      </c>
      <c r="M66" s="32">
        <f>VLOOKUP($A66,Calculator!$A:$AE,29,FALSE)</f>
        <v>3</v>
      </c>
      <c r="N66" s="28">
        <f t="shared" si="3"/>
        <v>92.307692307692292</v>
      </c>
      <c r="O66" s="1">
        <f>VLOOKUP($A66,Calculator!$A:$AE,30,FALSE)</f>
        <v>18.823529411764707</v>
      </c>
      <c r="P66" s="28">
        <f t="shared" si="4"/>
        <v>49.138679958633183</v>
      </c>
      <c r="Q66" s="28">
        <f t="shared" si="5"/>
        <v>0.70723186133162741</v>
      </c>
      <c r="R66" s="32">
        <f>VLOOKUP($A66,Calculator!$A:$Z,24,FALSE)</f>
        <v>4.5</v>
      </c>
      <c r="S66" s="1">
        <f>VLOOKUP($A66,Calculator!$A:$Z,25,FALSE)</f>
        <v>4.6666666666666661</v>
      </c>
      <c r="T66" s="1">
        <f>VLOOKUP($A66,Calculator!$A:$Z,26,FALSE)</f>
        <v>4</v>
      </c>
      <c r="U66" s="32">
        <f>IF(R66="No Data","No Data",R66/(5-IF(R66&lt;5,VLOOKUP($A66,'Data Gaps'!$A:$N,9,FALSE),0)))</f>
        <v>0.9</v>
      </c>
      <c r="V66" s="1">
        <f>IF(S66="No Data", "No Data",S66/(8-IF(S66&lt;8,VLOOKUP($A66,'Data Gaps'!$A:$N,10,FALSE),0)))</f>
        <v>0.58333333333333326</v>
      </c>
      <c r="W66" s="1">
        <f>IF(T66="No Data","No Data",T66/(5-IF(T66&lt;5,VLOOKUP($A66,'Data Gaps'!$A:$N,11,FALSE),0)))</f>
        <v>0.8</v>
      </c>
      <c r="X66" s="40">
        <f t="shared" si="6"/>
        <v>59.811303893299218</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workbookViewId="0">
      <pane xSplit="1" ySplit="4" topLeftCell="B5" activePane="bottomRight" state="frozen"/>
      <selection pane="topRight" activeCell="B1" sqref="B1"/>
      <selection pane="bottomLeft" activeCell="A5" sqref="A5"/>
      <selection pane="bottomRight" activeCell="O5" sqref="O5"/>
    </sheetView>
  </sheetViews>
  <sheetFormatPr defaultRowHeight="14.5" x14ac:dyDescent="0.35"/>
  <cols>
    <col min="1" max="1" width="29.453125" customWidth="1"/>
    <col min="5" max="5" width="15.7265625" bestFit="1" customWidth="1"/>
    <col min="6" max="7" width="15.7265625" customWidth="1"/>
    <col min="8" max="8" width="10.7265625" style="33" customWidth="1"/>
    <col min="9" max="9" width="10.1796875" customWidth="1"/>
    <col min="10" max="10" width="10.7265625" style="33" customWidth="1"/>
    <col min="11" max="11" width="10.1796875" customWidth="1"/>
    <col min="12" max="13" width="10.7265625" customWidth="1"/>
    <col min="15" max="15" width="8.7265625" style="33"/>
    <col min="18" max="18" width="8.7265625" style="33"/>
    <col min="21" max="22" width="8.7265625" style="33"/>
  </cols>
  <sheetData>
    <row r="1" spans="1:22" x14ac:dyDescent="0.35">
      <c r="A1" s="1">
        <f>COLUMN()</f>
        <v>1</v>
      </c>
      <c r="B1" s="1">
        <f>COLUMN()</f>
        <v>2</v>
      </c>
      <c r="C1" s="1">
        <f>COLUMN()</f>
        <v>3</v>
      </c>
      <c r="D1" s="1">
        <f>COLUMN()</f>
        <v>4</v>
      </c>
      <c r="E1" s="1">
        <f>COLUMN()</f>
        <v>5</v>
      </c>
      <c r="F1" s="1">
        <f>COLUMN()</f>
        <v>6</v>
      </c>
      <c r="G1" s="1">
        <f>COLUMN()</f>
        <v>7</v>
      </c>
      <c r="H1" s="32">
        <f>COLUMN()</f>
        <v>8</v>
      </c>
      <c r="I1" s="1">
        <f>COLUMN()</f>
        <v>9</v>
      </c>
      <c r="J1" s="32">
        <f>COLUMN()</f>
        <v>10</v>
      </c>
      <c r="K1" s="1">
        <f>COLUMN()</f>
        <v>11</v>
      </c>
      <c r="L1" s="1">
        <f>COLUMN()</f>
        <v>12</v>
      </c>
      <c r="M1" s="1">
        <f>COLUMN()</f>
        <v>13</v>
      </c>
      <c r="N1" s="1">
        <f>COLUMN()</f>
        <v>14</v>
      </c>
      <c r="O1" s="32">
        <f>COLUMN()</f>
        <v>15</v>
      </c>
      <c r="P1" s="1">
        <f>COLUMN()</f>
        <v>16</v>
      </c>
      <c r="Q1" s="1">
        <f>COLUMN()</f>
        <v>17</v>
      </c>
      <c r="R1" s="32">
        <f>COLUMN()</f>
        <v>18</v>
      </c>
      <c r="S1" s="1">
        <f>COLUMN()</f>
        <v>19</v>
      </c>
      <c r="T1" s="1">
        <f>COLUMN()</f>
        <v>20</v>
      </c>
      <c r="U1" s="32">
        <f>COLUMN()</f>
        <v>21</v>
      </c>
      <c r="V1" s="32"/>
    </row>
    <row r="2" spans="1:22" x14ac:dyDescent="0.35">
      <c r="A2" s="1" t="s">
        <v>235</v>
      </c>
      <c r="B2" s="1"/>
      <c r="C2" s="1"/>
      <c r="D2" s="1"/>
      <c r="E2" s="1"/>
      <c r="F2" s="1"/>
      <c r="G2" s="1"/>
      <c r="H2" s="44">
        <f>PERCENTILE(H5:H66,0.99)</f>
        <v>4</v>
      </c>
      <c r="I2" s="1"/>
      <c r="J2" s="32">
        <f>PERCENTILE(J5:J66,0.95)</f>
        <v>11</v>
      </c>
      <c r="K2" s="1"/>
      <c r="L2" s="1">
        <f>PERCENTILE(L5:L66,0.95)</f>
        <v>5.2364132710667244</v>
      </c>
      <c r="M2" s="1"/>
    </row>
    <row r="3" spans="1:22" x14ac:dyDescent="0.35">
      <c r="A3" s="1" t="s">
        <v>236</v>
      </c>
      <c r="B3" s="1"/>
      <c r="C3" s="1"/>
      <c r="D3" s="1"/>
      <c r="E3" s="1"/>
      <c r="F3" s="1"/>
      <c r="G3" s="1"/>
      <c r="H3" s="44">
        <f>MIN(H5:H66)</f>
        <v>0</v>
      </c>
      <c r="I3" s="1"/>
      <c r="J3" s="32">
        <f>MIN(J5:J66)</f>
        <v>0</v>
      </c>
      <c r="K3" s="1"/>
      <c r="L3" s="1">
        <f>MIN(L5:L66)</f>
        <v>0</v>
      </c>
      <c r="M3" s="1"/>
    </row>
    <row r="4" spans="1:22" ht="63" x14ac:dyDescent="0.35">
      <c r="A4" s="25" t="s">
        <v>0</v>
      </c>
      <c r="B4" s="25" t="s">
        <v>1</v>
      </c>
      <c r="C4" s="25" t="s">
        <v>2</v>
      </c>
      <c r="D4" s="25" t="s">
        <v>3</v>
      </c>
      <c r="E4" s="25" t="s">
        <v>4</v>
      </c>
      <c r="F4" s="25" t="s">
        <v>156</v>
      </c>
      <c r="G4" s="25" t="s">
        <v>157</v>
      </c>
      <c r="H4" s="36" t="s">
        <v>265</v>
      </c>
      <c r="I4" s="27" t="s">
        <v>266</v>
      </c>
      <c r="J4" s="36" t="s">
        <v>267</v>
      </c>
      <c r="K4" s="27" t="s">
        <v>230</v>
      </c>
      <c r="L4" s="26" t="s">
        <v>268</v>
      </c>
      <c r="M4" s="27" t="s">
        <v>232</v>
      </c>
      <c r="N4" s="27" t="s">
        <v>243</v>
      </c>
      <c r="O4" s="45" t="s">
        <v>269</v>
      </c>
      <c r="P4" s="7" t="s">
        <v>270</v>
      </c>
      <c r="Q4" s="46" t="s">
        <v>271</v>
      </c>
      <c r="R4" s="45" t="s">
        <v>272</v>
      </c>
      <c r="S4" s="7" t="s">
        <v>273</v>
      </c>
      <c r="T4" s="9" t="s">
        <v>274</v>
      </c>
      <c r="U4" s="37" t="s">
        <v>244</v>
      </c>
    </row>
    <row r="5" spans="1:22" x14ac:dyDescent="0.35">
      <c r="A5" s="1" t="s">
        <v>5</v>
      </c>
      <c r="B5" s="28" t="s">
        <v>6</v>
      </c>
      <c r="C5" s="1" t="s">
        <v>7</v>
      </c>
      <c r="D5" s="1" t="s">
        <v>8</v>
      </c>
      <c r="E5" s="28" t="s">
        <v>9</v>
      </c>
      <c r="F5" s="28" t="s">
        <v>159</v>
      </c>
      <c r="G5" s="28" t="str">
        <f>VLOOKUP($A5,'EBA2017'!$A:$G,7,FALSE)</f>
        <v>One</v>
      </c>
      <c r="H5" s="32">
        <f>VLOOKUP($A5,'EBA2017'!$A:$AZ,44,FALSE)</f>
        <v>1</v>
      </c>
      <c r="I5" s="28">
        <f>IF(H5="No data","No data",IF(OR(H5="No practice",H5="N/A",H5&gt;$H$2),0,($H$2-H5)/($H$2-$H$3)))</f>
        <v>0.75</v>
      </c>
      <c r="J5" s="32">
        <f>VLOOKUP($A5,'EBA2017'!$A:$AZ,45,FALSE)</f>
        <v>1</v>
      </c>
      <c r="K5" s="28">
        <f>IF(J5="No data","No data",IF(OR(J5="No practice",J5="N/A",J5&gt;$J$2),0,($J$2-J5)/($J$2-$J$3)))</f>
        <v>0.90909090909090906</v>
      </c>
      <c r="L5" s="42">
        <f>VLOOKUP($A5,'EBA2017'!$A:$AZ,46,FALSE)</f>
        <v>0</v>
      </c>
      <c r="M5" s="43">
        <f>IF(L5="No data","No data",IF(OR(L5="No practice",L5="N/A",L5&gt;$L$2),0,($L$2-L5)/($L$2-$L$3)))</f>
        <v>1</v>
      </c>
      <c r="N5" s="42">
        <f>AVERAGE(I5,K5,M5)</f>
        <v>0.88636363636363635</v>
      </c>
      <c r="O5" s="32">
        <f>VLOOKUP($A5,'EBA2017'!$A:$AZ,41,FALSE)</f>
        <v>9.3000000000000007</v>
      </c>
      <c r="P5" s="1">
        <f>VLOOKUP($A5,'EBA2017'!$A:$AZ,42,FALSE)</f>
        <v>3.5</v>
      </c>
      <c r="Q5" s="1">
        <f>VLOOKUP($A5,'EBA2017'!$A:$AZ,43,FALSE)</f>
        <v>5</v>
      </c>
      <c r="R5" s="32">
        <f>IF(5="No Data","No Data",O5/(13-IF(O5&lt;13,VLOOKUP($A5,'Data Gaps'!$A:$Z,12,FALSE),0)))</f>
        <v>0.7153846153846154</v>
      </c>
      <c r="S5" s="1">
        <f>IF(P5="No Data","No Data",P5/(8-IF(P5&lt;8,VLOOKUP($A5,'Data Gaps'!$A:$Z,13,FALSE),0)))</f>
        <v>0.4375</v>
      </c>
      <c r="T5" s="1">
        <f>IF(Q5="No Data","No Data",Q5/(9-IF(Q5&lt;9,VLOOKUP($A5,'Data Gaps'!$A:$Z,14,FALSE),0)))</f>
        <v>0.55555555555555558</v>
      </c>
      <c r="U5" s="32">
        <f>100*AVERAGE(N5,R5,S5,T5)</f>
        <v>64.870095182595193</v>
      </c>
    </row>
    <row r="6" spans="1:22" x14ac:dyDescent="0.35">
      <c r="A6" s="1" t="s">
        <v>23</v>
      </c>
      <c r="B6" s="28" t="s">
        <v>24</v>
      </c>
      <c r="C6" s="1" t="s">
        <v>7</v>
      </c>
      <c r="D6" s="1" t="s">
        <v>8</v>
      </c>
      <c r="E6" s="29" t="s">
        <v>25</v>
      </c>
      <c r="F6" s="28" t="s">
        <v>161</v>
      </c>
      <c r="G6" s="28" t="str">
        <f>VLOOKUP($A6,'EBA2017'!$A:$G,7,FALSE)</f>
        <v>One</v>
      </c>
      <c r="H6" s="32">
        <f>VLOOKUP($A6,'EBA2017'!$A:$AZ,44,FALSE)</f>
        <v>1</v>
      </c>
      <c r="I6" s="28">
        <f t="shared" ref="I6:I66" si="0">IF(H6="No data","No data",IF(OR(H6="No practice",H6="N/A",H6&gt;$H$2),0,($H$2-H6)/($H$2-$H$3)))</f>
        <v>0.75</v>
      </c>
      <c r="J6" s="32">
        <f>VLOOKUP($A6,'EBA2017'!$A:$AZ,45,FALSE)</f>
        <v>1</v>
      </c>
      <c r="K6" s="28">
        <f t="shared" ref="K6:K66" si="1">IF(J6="No data","No data",IF(OR(J6="No practice",J6="N/A",J6&gt;$J$2),0,($J$2-J6)/($J$2-$J$3)))</f>
        <v>0.90909090909090906</v>
      </c>
      <c r="L6" s="42">
        <f>VLOOKUP($A6,'EBA2017'!$A:$AZ,46,FALSE)</f>
        <v>0.26742585609793085</v>
      </c>
      <c r="M6" s="43">
        <f t="shared" ref="M6:M66" si="2">IF(L6="No data","No data",IF(OR(L6="No practice",L6="N/A",L6&gt;$L$2),0,($L$2-L6)/($L$2-$L$3)))</f>
        <v>0.94892957407018175</v>
      </c>
      <c r="N6" s="42">
        <f t="shared" ref="N6:N66" si="3">AVERAGE(I6,K6,M6)</f>
        <v>0.86934016105369694</v>
      </c>
      <c r="O6" s="32">
        <f>VLOOKUP($A6,'EBA2017'!$A:$AZ,41,FALSE)</f>
        <v>8.5</v>
      </c>
      <c r="P6" s="1">
        <f>VLOOKUP($A6,'EBA2017'!$A:$AZ,42,FALSE)</f>
        <v>6</v>
      </c>
      <c r="Q6" s="1">
        <f>VLOOKUP($A6,'EBA2017'!$A:$AZ,43,FALSE)</f>
        <v>6.5</v>
      </c>
      <c r="R6" s="32">
        <f>IF(5="No Data","No Data",O6/(13-IF(O6&lt;13,VLOOKUP($A6,'Data Gaps'!$A:$Z,12,FALSE),0)))</f>
        <v>0.65384615384615385</v>
      </c>
      <c r="S6" s="1">
        <f>IF(P6="No Data","No Data",P6/(8-IF(P6&lt;8,VLOOKUP($A6,'Data Gaps'!$A:$Z,13,FALSE),0)))</f>
        <v>0.75</v>
      </c>
      <c r="T6" s="1">
        <f>IF(Q6="No Data","No Data",Q6/(9-IF(Q6&lt;9,VLOOKUP($A6,'Data Gaps'!$A:$Z,14,FALSE),0)))</f>
        <v>0.72222222222222221</v>
      </c>
      <c r="U6" s="32">
        <f t="shared" ref="U6:U66" si="4">100*AVERAGE(N6,R6,S6,T6)</f>
        <v>74.885213428051827</v>
      </c>
    </row>
    <row r="7" spans="1:22" x14ac:dyDescent="0.35">
      <c r="A7" s="1" t="s">
        <v>36</v>
      </c>
      <c r="B7" s="28" t="s">
        <v>37</v>
      </c>
      <c r="C7" s="1" t="s">
        <v>38</v>
      </c>
      <c r="D7" s="1" t="s">
        <v>39</v>
      </c>
      <c r="E7" s="29" t="s">
        <v>40</v>
      </c>
      <c r="F7" s="28" t="s">
        <v>159</v>
      </c>
      <c r="G7" s="28" t="str">
        <f>VLOOKUP($A7,'EBA2017'!$A:$G,7,FALSE)</f>
        <v>One</v>
      </c>
      <c r="H7" s="32">
        <f>VLOOKUP($A7,'EBA2017'!$A:$AZ,44,FALSE)</f>
        <v>1</v>
      </c>
      <c r="I7" s="28">
        <f t="shared" si="0"/>
        <v>0.75</v>
      </c>
      <c r="J7" s="32">
        <f>VLOOKUP($A7,'EBA2017'!$A:$AZ,45,FALSE)</f>
        <v>1</v>
      </c>
      <c r="K7" s="28">
        <f t="shared" si="1"/>
        <v>0.90909090909090906</v>
      </c>
      <c r="L7" s="42">
        <f>VLOOKUP($A7,'EBA2017'!$A:$AZ,46,FALSE)</f>
        <v>9.6180469374906713E-6</v>
      </c>
      <c r="M7" s="43">
        <f t="shared" si="2"/>
        <v>0.99999816323761326</v>
      </c>
      <c r="N7" s="42">
        <f t="shared" si="3"/>
        <v>0.88636302410950751</v>
      </c>
      <c r="O7" s="32">
        <f>VLOOKUP($A7,'EBA2017'!$A:$AZ,41,FALSE)</f>
        <v>6</v>
      </c>
      <c r="P7" s="1">
        <f>VLOOKUP($A7,'EBA2017'!$A:$AZ,42,FALSE)</f>
        <v>7</v>
      </c>
      <c r="Q7" s="1">
        <f>VLOOKUP($A7,'EBA2017'!$A:$AZ,43,FALSE)</f>
        <v>7.5</v>
      </c>
      <c r="R7" s="32">
        <f>IF(5="No Data","No Data",O7/(13-IF(O7&lt;13,VLOOKUP($A7,'Data Gaps'!$A:$Z,12,FALSE),0)))</f>
        <v>0.46153846153846156</v>
      </c>
      <c r="S7" s="1">
        <f>IF(P7="No Data","No Data",P7/(8-IF(P7&lt;8,VLOOKUP($A7,'Data Gaps'!$A:$Z,13,FALSE),0)))</f>
        <v>0.875</v>
      </c>
      <c r="T7" s="1">
        <f>IF(Q7="No Data","No Data",Q7/(9-IF(Q7&lt;9,VLOOKUP($A7,'Data Gaps'!$A:$Z,14,FALSE),0)))</f>
        <v>0.83333333333333337</v>
      </c>
      <c r="U7" s="32">
        <f t="shared" si="4"/>
        <v>76.405870474532563</v>
      </c>
    </row>
    <row r="8" spans="1:22" x14ac:dyDescent="0.35">
      <c r="A8" s="1" t="s">
        <v>45</v>
      </c>
      <c r="B8" s="28" t="s">
        <v>46</v>
      </c>
      <c r="C8" s="1" t="s">
        <v>38</v>
      </c>
      <c r="D8" s="1" t="s">
        <v>39</v>
      </c>
      <c r="E8" s="29" t="s">
        <v>40</v>
      </c>
      <c r="F8" s="28" t="s">
        <v>162</v>
      </c>
      <c r="G8" s="28" t="str">
        <f>VLOOKUP($A8,'EBA2017'!$A:$G,7,FALSE)</f>
        <v>One</v>
      </c>
      <c r="H8" s="32">
        <f>VLOOKUP($A8,'EBA2017'!$A:$AZ,44,FALSE)</f>
        <v>0</v>
      </c>
      <c r="I8" s="28">
        <f t="shared" si="0"/>
        <v>1</v>
      </c>
      <c r="J8" s="32">
        <f>VLOOKUP($A8,'EBA2017'!$A:$AZ,45,FALSE)</f>
        <v>0</v>
      </c>
      <c r="K8" s="28">
        <f t="shared" si="1"/>
        <v>1</v>
      </c>
      <c r="L8" s="42">
        <f>VLOOKUP($A8,'EBA2017'!$A:$AZ,46,FALSE)</f>
        <v>0</v>
      </c>
      <c r="M8" s="43">
        <f t="shared" si="2"/>
        <v>1</v>
      </c>
      <c r="N8" s="42">
        <f t="shared" si="3"/>
        <v>1</v>
      </c>
      <c r="O8" s="32">
        <f>VLOOKUP($A8,'EBA2017'!$A:$AZ,41,FALSE)</f>
        <v>6.5</v>
      </c>
      <c r="P8" s="1">
        <f>VLOOKUP($A8,'EBA2017'!$A:$AZ,42,FALSE)</f>
        <v>7</v>
      </c>
      <c r="Q8" s="1">
        <f>VLOOKUP($A8,'EBA2017'!$A:$AZ,43,FALSE)</f>
        <v>7</v>
      </c>
      <c r="R8" s="32">
        <f>IF(5="No Data","No Data",O8/(13-IF(O8&lt;13,VLOOKUP($A8,'Data Gaps'!$A:$Z,12,FALSE),0)))</f>
        <v>0.5</v>
      </c>
      <c r="S8" s="1">
        <f>IF(P8="No Data","No Data",P8/(8-IF(P8&lt;8,VLOOKUP($A8,'Data Gaps'!$A:$Z,13,FALSE),0)))</f>
        <v>0.875</v>
      </c>
      <c r="T8" s="1">
        <f>IF(Q8="No Data","No Data",Q8/(9-IF(Q8&lt;9,VLOOKUP($A8,'Data Gaps'!$A:$Z,14,FALSE),0)))</f>
        <v>0.77777777777777779</v>
      </c>
      <c r="U8" s="32">
        <f t="shared" si="4"/>
        <v>78.819444444444443</v>
      </c>
    </row>
    <row r="9" spans="1:22" x14ac:dyDescent="0.35">
      <c r="A9" s="1" t="s">
        <v>120</v>
      </c>
      <c r="B9" s="28" t="s">
        <v>121</v>
      </c>
      <c r="C9" s="1" t="s">
        <v>38</v>
      </c>
      <c r="D9" s="1" t="s">
        <v>39</v>
      </c>
      <c r="E9" s="29" t="s">
        <v>40</v>
      </c>
      <c r="F9" s="28" t="s">
        <v>159</v>
      </c>
      <c r="G9" s="28" t="str">
        <f>VLOOKUP($A9,'EBA2017'!$A:$G,7,FALSE)</f>
        <v>One</v>
      </c>
      <c r="H9" s="32">
        <f>VLOOKUP($A9,'EBA2017'!$A:$AZ,44,FALSE)</f>
        <v>0</v>
      </c>
      <c r="I9" s="28">
        <f t="shared" si="0"/>
        <v>1</v>
      </c>
      <c r="J9" s="32">
        <f>VLOOKUP($A9,'EBA2017'!$A:$AZ,45,FALSE)</f>
        <v>0</v>
      </c>
      <c r="K9" s="28">
        <f t="shared" si="1"/>
        <v>1</v>
      </c>
      <c r="L9" s="42">
        <f>VLOOKUP($A9,'EBA2017'!$A:$AZ,46,FALSE)</f>
        <v>0</v>
      </c>
      <c r="M9" s="43">
        <f t="shared" si="2"/>
        <v>1</v>
      </c>
      <c r="N9" s="42">
        <f t="shared" si="3"/>
        <v>1</v>
      </c>
      <c r="O9" s="32">
        <f>VLOOKUP($A9,'EBA2017'!$A:$AZ,41,FALSE)</f>
        <v>10.75</v>
      </c>
      <c r="P9" s="1">
        <f>VLOOKUP($A9,'EBA2017'!$A:$AZ,42,FALSE)</f>
        <v>7.75</v>
      </c>
      <c r="Q9" s="1">
        <f>VLOOKUP($A9,'EBA2017'!$A:$AZ,43,FALSE)</f>
        <v>5.5</v>
      </c>
      <c r="R9" s="32">
        <f>IF(5="No Data","No Data",O9/(13-IF(O9&lt;13,VLOOKUP($A9,'Data Gaps'!$A:$Z,12,FALSE),0)))</f>
        <v>0.82692307692307687</v>
      </c>
      <c r="S9" s="1">
        <f>IF(P9="No Data","No Data",P9/(8-IF(P9&lt;8,VLOOKUP($A9,'Data Gaps'!$A:$Z,13,FALSE),0)))</f>
        <v>0.96875</v>
      </c>
      <c r="T9" s="1">
        <f>IF(Q9="No Data","No Data",Q9/(9-IF(Q9&lt;9,VLOOKUP($A9,'Data Gaps'!$A:$Z,14,FALSE),0)))</f>
        <v>0.6875</v>
      </c>
      <c r="U9" s="32">
        <f t="shared" si="4"/>
        <v>87.07932692307692</v>
      </c>
    </row>
    <row r="10" spans="1:22" x14ac:dyDescent="0.35">
      <c r="A10" s="1" t="s">
        <v>53</v>
      </c>
      <c r="B10" s="28" t="s">
        <v>54</v>
      </c>
      <c r="C10" s="1" t="s">
        <v>7</v>
      </c>
      <c r="D10" s="1" t="s">
        <v>8</v>
      </c>
      <c r="E10" s="29" t="s">
        <v>25</v>
      </c>
      <c r="F10" s="28" t="s">
        <v>162</v>
      </c>
      <c r="G10" s="28" t="str">
        <f>VLOOKUP($A10,'EBA2017'!$A:$G,7,FALSE)</f>
        <v>One</v>
      </c>
      <c r="H10" s="32">
        <f>VLOOKUP($A10,'EBA2017'!$A:$AZ,44,FALSE)</f>
        <v>1</v>
      </c>
      <c r="I10" s="28">
        <f t="shared" si="0"/>
        <v>0.75</v>
      </c>
      <c r="J10" s="32">
        <f>VLOOKUP($A10,'EBA2017'!$A:$AZ,45,FALSE)</f>
        <v>3</v>
      </c>
      <c r="K10" s="28">
        <f t="shared" si="1"/>
        <v>0.72727272727272729</v>
      </c>
      <c r="L10" s="42">
        <f>VLOOKUP($A10,'EBA2017'!$A:$AZ,46,FALSE)</f>
        <v>0.29834519655417824</v>
      </c>
      <c r="M10" s="43">
        <f t="shared" si="2"/>
        <v>0.9430248948831722</v>
      </c>
      <c r="N10" s="42">
        <f t="shared" si="3"/>
        <v>0.80676587405196643</v>
      </c>
      <c r="O10" s="32">
        <f>VLOOKUP($A10,'EBA2017'!$A:$AZ,41,FALSE)</f>
        <v>6.5</v>
      </c>
      <c r="P10" s="1">
        <f>VLOOKUP($A10,'EBA2017'!$A:$AZ,42,FALSE)</f>
        <v>5.5</v>
      </c>
      <c r="Q10" s="1">
        <f>VLOOKUP($A10,'EBA2017'!$A:$AZ,43,FALSE)</f>
        <v>6.5</v>
      </c>
      <c r="R10" s="32">
        <f>IF(5="No Data","No Data",O10/(13-IF(O10&lt;13,VLOOKUP($A10,'Data Gaps'!$A:$Z,12,FALSE),0)))</f>
        <v>0.5</v>
      </c>
      <c r="S10" s="1">
        <f>IF(P10="No Data","No Data",P10/(8-IF(P10&lt;8,VLOOKUP($A10,'Data Gaps'!$A:$Z,13,FALSE),0)))</f>
        <v>0.6875</v>
      </c>
      <c r="T10" s="1">
        <f>IF(Q10="No Data","No Data",Q10/(9-IF(Q10&lt;9,VLOOKUP($A10,'Data Gaps'!$A:$Z,14,FALSE),0)))</f>
        <v>0.72222222222222221</v>
      </c>
      <c r="U10" s="32">
        <f t="shared" si="4"/>
        <v>67.912202406854718</v>
      </c>
    </row>
    <row r="11" spans="1:22" x14ac:dyDescent="0.35">
      <c r="A11" s="1" t="s">
        <v>57</v>
      </c>
      <c r="B11" s="28" t="s">
        <v>58</v>
      </c>
      <c r="C11" s="1" t="s">
        <v>38</v>
      </c>
      <c r="D11" s="1" t="s">
        <v>39</v>
      </c>
      <c r="E11" s="29" t="s">
        <v>40</v>
      </c>
      <c r="F11" s="28" t="s">
        <v>159</v>
      </c>
      <c r="G11" s="28" t="str">
        <f>VLOOKUP($A11,'EBA2017'!$A:$G,7,FALSE)</f>
        <v>One</v>
      </c>
      <c r="H11" s="32">
        <f>VLOOKUP($A11,'EBA2017'!$A:$AZ,44,FALSE)</f>
        <v>0</v>
      </c>
      <c r="I11" s="28">
        <f t="shared" si="0"/>
        <v>1</v>
      </c>
      <c r="J11" s="32">
        <f>VLOOKUP($A11,'EBA2017'!$A:$AZ,45,FALSE)</f>
        <v>0</v>
      </c>
      <c r="K11" s="28">
        <f t="shared" si="1"/>
        <v>1</v>
      </c>
      <c r="L11" s="42">
        <f>VLOOKUP($A11,'EBA2017'!$A:$AZ,46,FALSE)</f>
        <v>0</v>
      </c>
      <c r="M11" s="43">
        <f t="shared" si="2"/>
        <v>1</v>
      </c>
      <c r="N11" s="42">
        <f t="shared" si="3"/>
        <v>1</v>
      </c>
      <c r="O11" s="32">
        <f>VLOOKUP($A11,'EBA2017'!$A:$AZ,41,FALSE)</f>
        <v>9.85</v>
      </c>
      <c r="P11" s="1">
        <f>VLOOKUP($A11,'EBA2017'!$A:$AZ,42,FALSE)</f>
        <v>6</v>
      </c>
      <c r="Q11" s="1">
        <f>VLOOKUP($A11,'EBA2017'!$A:$AZ,43,FALSE)</f>
        <v>5.5</v>
      </c>
      <c r="R11" s="32">
        <f>IF(5="No Data","No Data",O11/(13-IF(O11&lt;13,VLOOKUP($A11,'Data Gaps'!$A:$Z,12,FALSE),0)))</f>
        <v>0.75769230769230766</v>
      </c>
      <c r="S11" s="1">
        <f>IF(P11="No Data","No Data",P11/(8-IF(P11&lt;8,VLOOKUP($A11,'Data Gaps'!$A:$Z,13,FALSE),0)))</f>
        <v>0.8571428571428571</v>
      </c>
      <c r="T11" s="1">
        <f>IF(Q11="No Data","No Data",Q11/(9-IF(Q11&lt;9,VLOOKUP($A11,'Data Gaps'!$A:$Z,14,FALSE),0)))</f>
        <v>0.61111111111111116</v>
      </c>
      <c r="U11" s="32">
        <f t="shared" si="4"/>
        <v>80.648656898656895</v>
      </c>
    </row>
    <row r="12" spans="1:22" x14ac:dyDescent="0.35">
      <c r="A12" s="1" t="s">
        <v>64</v>
      </c>
      <c r="B12" s="28" t="s">
        <v>65</v>
      </c>
      <c r="C12" s="1" t="s">
        <v>38</v>
      </c>
      <c r="D12" s="1" t="s">
        <v>39</v>
      </c>
      <c r="E12" s="28" t="s">
        <v>40</v>
      </c>
      <c r="F12" s="28" t="s">
        <v>159</v>
      </c>
      <c r="G12" s="28" t="str">
        <f>VLOOKUP($A12,'EBA2017'!$A:$G,7,FALSE)</f>
        <v>One</v>
      </c>
      <c r="H12" s="32">
        <f>VLOOKUP($A12,'EBA2017'!$A:$AZ,44,FALSE)</f>
        <v>0</v>
      </c>
      <c r="I12" s="28">
        <f t="shared" si="0"/>
        <v>1</v>
      </c>
      <c r="J12" s="32">
        <f>VLOOKUP($A12,'EBA2017'!$A:$AZ,45,FALSE)</f>
        <v>0</v>
      </c>
      <c r="K12" s="28">
        <f t="shared" si="1"/>
        <v>1</v>
      </c>
      <c r="L12" s="42">
        <f>VLOOKUP($A12,'EBA2017'!$A:$AZ,46,FALSE)</f>
        <v>0</v>
      </c>
      <c r="M12" s="43">
        <f t="shared" si="2"/>
        <v>1</v>
      </c>
      <c r="N12" s="42">
        <f t="shared" si="3"/>
        <v>1</v>
      </c>
      <c r="O12" s="32">
        <f>VLOOKUP($A12,'EBA2017'!$A:$AZ,41,FALSE)</f>
        <v>8.8000000000000007</v>
      </c>
      <c r="P12" s="1">
        <f>VLOOKUP($A12,'EBA2017'!$A:$AZ,42,FALSE)</f>
        <v>7</v>
      </c>
      <c r="Q12" s="1">
        <f>VLOOKUP($A12,'EBA2017'!$A:$AZ,43,FALSE)</f>
        <v>6.5</v>
      </c>
      <c r="R12" s="32">
        <f>IF(5="No Data","No Data",O12/(13-IF(O12&lt;13,VLOOKUP($A12,'Data Gaps'!$A:$Z,12,FALSE),0)))</f>
        <v>0.67692307692307696</v>
      </c>
      <c r="S12" s="1">
        <f>IF(P12="No Data","No Data",P12/(8-IF(P12&lt;8,VLOOKUP($A12,'Data Gaps'!$A:$Z,13,FALSE),0)))</f>
        <v>0.875</v>
      </c>
      <c r="T12" s="1">
        <f>IF(Q12="No Data","No Data",Q12/(9-IF(Q12&lt;9,VLOOKUP($A12,'Data Gaps'!$A:$Z,14,FALSE),0)))</f>
        <v>0.72222222222222221</v>
      </c>
      <c r="U12" s="32">
        <f t="shared" si="4"/>
        <v>81.853632478632491</v>
      </c>
    </row>
    <row r="13" spans="1:22" x14ac:dyDescent="0.35">
      <c r="A13" s="1" t="s">
        <v>68</v>
      </c>
      <c r="B13" s="28" t="s">
        <v>69</v>
      </c>
      <c r="C13" s="1" t="s">
        <v>7</v>
      </c>
      <c r="D13" s="1" t="s">
        <v>8</v>
      </c>
      <c r="E13" s="28" t="s">
        <v>25</v>
      </c>
      <c r="F13" s="28" t="s">
        <v>162</v>
      </c>
      <c r="G13" s="28" t="str">
        <f>VLOOKUP($A13,'EBA2017'!$A:$G,7,FALSE)</f>
        <v>One</v>
      </c>
      <c r="H13" s="32">
        <f>VLOOKUP($A13,'EBA2017'!$A:$AZ,44,FALSE)</f>
        <v>3</v>
      </c>
      <c r="I13" s="28">
        <f t="shared" si="0"/>
        <v>0.25</v>
      </c>
      <c r="J13" s="32">
        <f>VLOOKUP($A13,'EBA2017'!$A:$AZ,45,FALSE)</f>
        <v>5</v>
      </c>
      <c r="K13" s="28">
        <f t="shared" si="1"/>
        <v>0.54545454545454541</v>
      </c>
      <c r="L13" s="42">
        <f>VLOOKUP($A13,'EBA2017'!$A:$AZ,46,FALSE)</f>
        <v>0.59756616275652152</v>
      </c>
      <c r="M13" s="43">
        <f t="shared" si="2"/>
        <v>0.88588254367578023</v>
      </c>
      <c r="N13" s="42">
        <f t="shared" si="3"/>
        <v>0.56044569637677522</v>
      </c>
      <c r="O13" s="32">
        <f>VLOOKUP($A13,'EBA2017'!$A:$AZ,41,FALSE)</f>
        <v>10.5</v>
      </c>
      <c r="P13" s="1">
        <f>VLOOKUP($A13,'EBA2017'!$A:$AZ,42,FALSE)</f>
        <v>5.5</v>
      </c>
      <c r="Q13" s="1">
        <f>VLOOKUP($A13,'EBA2017'!$A:$AZ,43,FALSE)</f>
        <v>7</v>
      </c>
      <c r="R13" s="32">
        <f>IF(5="No Data","No Data",O13/(13-IF(O13&lt;13,VLOOKUP($A13,'Data Gaps'!$A:$Z,12,FALSE),0)))</f>
        <v>0.80769230769230771</v>
      </c>
      <c r="S13" s="1">
        <f>IF(P13="No Data","No Data",P13/(8-IF(P13&lt;8,VLOOKUP($A13,'Data Gaps'!$A:$Z,13,FALSE),0)))</f>
        <v>0.6875</v>
      </c>
      <c r="T13" s="1">
        <f>IF(Q13="No Data","No Data",Q13/(9-IF(Q13&lt;9,VLOOKUP($A13,'Data Gaps'!$A:$Z,14,FALSE),0)))</f>
        <v>0.77777777777777779</v>
      </c>
      <c r="U13" s="32">
        <f t="shared" si="4"/>
        <v>70.835394546171514</v>
      </c>
    </row>
    <row r="14" spans="1:22" x14ac:dyDescent="0.35">
      <c r="A14" s="1" t="s">
        <v>74</v>
      </c>
      <c r="B14" s="28" t="s">
        <v>75</v>
      </c>
      <c r="C14" s="1" t="s">
        <v>7</v>
      </c>
      <c r="D14" s="1" t="s">
        <v>8</v>
      </c>
      <c r="E14" s="28" t="s">
        <v>9</v>
      </c>
      <c r="F14" s="28" t="s">
        <v>161</v>
      </c>
      <c r="G14" s="28" t="str">
        <f>VLOOKUP($A14,'EBA2017'!$A:$G,7,FALSE)</f>
        <v>One</v>
      </c>
      <c r="H14" s="32">
        <f>VLOOKUP($A14,'EBA2017'!$A:$AZ,44,FALSE)</f>
        <v>1</v>
      </c>
      <c r="I14" s="28">
        <f t="shared" si="0"/>
        <v>0.75</v>
      </c>
      <c r="J14" s="32">
        <f>VLOOKUP($A14,'EBA2017'!$A:$AZ,45,FALSE)</f>
        <v>1</v>
      </c>
      <c r="K14" s="28">
        <f t="shared" si="1"/>
        <v>0.90909090909090906</v>
      </c>
      <c r="L14" s="42">
        <f>VLOOKUP($A14,'EBA2017'!$A:$AZ,46,FALSE)</f>
        <v>0.72386443130463274</v>
      </c>
      <c r="M14" s="43">
        <f t="shared" si="2"/>
        <v>0.86176331129090344</v>
      </c>
      <c r="N14" s="42">
        <f t="shared" si="3"/>
        <v>0.84028474012727095</v>
      </c>
      <c r="O14" s="32">
        <f>VLOOKUP($A14,'EBA2017'!$A:$AZ,41,FALSE)</f>
        <v>8.5</v>
      </c>
      <c r="P14" s="1">
        <f>VLOOKUP($A14,'EBA2017'!$A:$AZ,42,FALSE)</f>
        <v>5.5</v>
      </c>
      <c r="Q14" s="1">
        <f>VLOOKUP($A14,'EBA2017'!$A:$AZ,43,FALSE)</f>
        <v>6.5</v>
      </c>
      <c r="R14" s="32">
        <f>IF(5="No Data","No Data",O14/(13-IF(O14&lt;13,VLOOKUP($A14,'Data Gaps'!$A:$Z,12,FALSE),0)))</f>
        <v>0.65384615384615385</v>
      </c>
      <c r="S14" s="1">
        <f>IF(P14="No Data","No Data",P14/(8-IF(P14&lt;8,VLOOKUP($A14,'Data Gaps'!$A:$Z,13,FALSE),0)))</f>
        <v>0.6875</v>
      </c>
      <c r="T14" s="1">
        <f>IF(Q14="No Data","No Data",Q14/(9-IF(Q14&lt;9,VLOOKUP($A14,'Data Gaps'!$A:$Z,14,FALSE),0)))</f>
        <v>0.72222222222222221</v>
      </c>
      <c r="U14" s="32">
        <f t="shared" si="4"/>
        <v>72.596327904891183</v>
      </c>
    </row>
    <row r="15" spans="1:22" x14ac:dyDescent="0.35">
      <c r="A15" s="1" t="s">
        <v>72</v>
      </c>
      <c r="B15" s="28" t="s">
        <v>73</v>
      </c>
      <c r="C15" s="1" t="s">
        <v>38</v>
      </c>
      <c r="D15" s="1" t="s">
        <v>39</v>
      </c>
      <c r="E15" s="28" t="s">
        <v>40</v>
      </c>
      <c r="F15" s="28" t="s">
        <v>161</v>
      </c>
      <c r="G15" s="28" t="str">
        <f>VLOOKUP($A15,'EBA2017'!$A:$G,7,FALSE)</f>
        <v>One</v>
      </c>
      <c r="H15" s="32">
        <f>VLOOKUP($A15,'EBA2017'!$A:$AZ,44,FALSE)</f>
        <v>1</v>
      </c>
      <c r="I15" s="28">
        <f t="shared" si="0"/>
        <v>0.75</v>
      </c>
      <c r="J15" s="32">
        <f>VLOOKUP($A15,'EBA2017'!$A:$AZ,45,FALSE)</f>
        <v>2</v>
      </c>
      <c r="K15" s="28">
        <f t="shared" si="1"/>
        <v>0.81818181818181823</v>
      </c>
      <c r="L15" s="42">
        <f>VLOOKUP($A15,'EBA2017'!$A:$AZ,46,FALSE)</f>
        <v>0</v>
      </c>
      <c r="M15" s="43">
        <f t="shared" si="2"/>
        <v>1</v>
      </c>
      <c r="N15" s="42">
        <f t="shared" si="3"/>
        <v>0.85606060606060608</v>
      </c>
      <c r="O15" s="32">
        <f>VLOOKUP($A15,'EBA2017'!$A:$AZ,41,FALSE)</f>
        <v>7.9</v>
      </c>
      <c r="P15" s="1">
        <f>VLOOKUP($A15,'EBA2017'!$A:$AZ,42,FALSE)</f>
        <v>5.75</v>
      </c>
      <c r="Q15" s="1">
        <f>VLOOKUP($A15,'EBA2017'!$A:$AZ,43,FALSE)</f>
        <v>7.5</v>
      </c>
      <c r="R15" s="32">
        <f>IF(5="No Data","No Data",O15/(13-IF(O15&lt;13,VLOOKUP($A15,'Data Gaps'!$A:$Z,12,FALSE),0)))</f>
        <v>0.60769230769230775</v>
      </c>
      <c r="S15" s="1">
        <f>IF(P15="No Data","No Data",P15/(8-IF(P15&lt;8,VLOOKUP($A15,'Data Gaps'!$A:$Z,13,FALSE),0)))</f>
        <v>0.71875</v>
      </c>
      <c r="T15" s="1">
        <f>IF(Q15="No Data","No Data",Q15/(9-IF(Q15&lt;9,VLOOKUP($A15,'Data Gaps'!$A:$Z,14,FALSE),0)))</f>
        <v>0.83333333333333337</v>
      </c>
      <c r="U15" s="32">
        <f t="shared" si="4"/>
        <v>75.395906177156178</v>
      </c>
    </row>
    <row r="16" spans="1:22" x14ac:dyDescent="0.35">
      <c r="A16" s="1" t="s">
        <v>78</v>
      </c>
      <c r="B16" s="28" t="s">
        <v>79</v>
      </c>
      <c r="C16" s="1" t="s">
        <v>16</v>
      </c>
      <c r="D16" s="1" t="s">
        <v>17</v>
      </c>
      <c r="E16" s="28" t="s">
        <v>18</v>
      </c>
      <c r="F16" s="28" t="s">
        <v>160</v>
      </c>
      <c r="G16" s="28" t="str">
        <f>VLOOKUP($A16,'EBA2017'!$A:$G,7,FALSE)</f>
        <v>One</v>
      </c>
      <c r="H16" s="32">
        <f>VLOOKUP($A16,'EBA2017'!$A:$AZ,44,FALSE)</f>
        <v>4</v>
      </c>
      <c r="I16" s="28">
        <f t="shared" si="0"/>
        <v>0</v>
      </c>
      <c r="J16" s="32">
        <f>VLOOKUP($A16,'EBA2017'!$A:$AZ,45,FALSE)</f>
        <v>7</v>
      </c>
      <c r="K16" s="28">
        <f t="shared" si="1"/>
        <v>0.36363636363636365</v>
      </c>
      <c r="L16" s="42" t="str">
        <f>VLOOKUP($A16,'EBA2017'!$A:$AZ,46,FALSE)</f>
        <v>No data</v>
      </c>
      <c r="M16" s="43" t="str">
        <f t="shared" si="2"/>
        <v>No data</v>
      </c>
      <c r="N16" s="42">
        <f t="shared" si="3"/>
        <v>0.18181818181818182</v>
      </c>
      <c r="O16" s="32">
        <f>VLOOKUP($A16,'EBA2017'!$A:$AZ,41,FALSE)</f>
        <v>5.4</v>
      </c>
      <c r="P16" s="1">
        <f>VLOOKUP($A16,'EBA2017'!$A:$AZ,42,FALSE)</f>
        <v>0</v>
      </c>
      <c r="Q16" s="1">
        <f>VLOOKUP($A16,'EBA2017'!$A:$AZ,43,FALSE)</f>
        <v>2</v>
      </c>
      <c r="R16" s="32">
        <f>IF(5="No Data","No Data",O16/(13-IF(O16&lt;13,VLOOKUP($A16,'Data Gaps'!$A:$Z,12,FALSE),0)))</f>
        <v>0.41538461538461541</v>
      </c>
      <c r="S16" s="1">
        <f>IF(P16="No Data","No Data",P16/(8-IF(P16&lt;8,VLOOKUP($A16,'Data Gaps'!$A:$Z,13,FALSE),0)))</f>
        <v>0</v>
      </c>
      <c r="T16" s="1">
        <f>IF(Q16="No Data","No Data",Q16/(9-IF(Q16&lt;9,VLOOKUP($A16,'Data Gaps'!$A:$Z,14,FALSE),0)))</f>
        <v>0.22222222222222221</v>
      </c>
      <c r="U16" s="32">
        <f t="shared" si="4"/>
        <v>20.485625485625487</v>
      </c>
    </row>
    <row r="17" spans="1:21" x14ac:dyDescent="0.35">
      <c r="A17" s="1" t="s">
        <v>84</v>
      </c>
      <c r="B17" s="28" t="s">
        <v>85</v>
      </c>
      <c r="C17" s="1" t="s">
        <v>16</v>
      </c>
      <c r="D17" s="1" t="s">
        <v>17</v>
      </c>
      <c r="E17" s="28" t="s">
        <v>18</v>
      </c>
      <c r="F17" s="28" t="s">
        <v>159</v>
      </c>
      <c r="G17" s="28" t="str">
        <f>VLOOKUP($A17,'EBA2017'!$A:$G,7,FALSE)</f>
        <v>One</v>
      </c>
      <c r="H17" s="32">
        <f>VLOOKUP($A17,'EBA2017'!$A:$AZ,44,FALSE)</f>
        <v>1</v>
      </c>
      <c r="I17" s="28">
        <f t="shared" si="0"/>
        <v>0.75</v>
      </c>
      <c r="J17" s="32">
        <f>VLOOKUP($A17,'EBA2017'!$A:$AZ,45,FALSE)</f>
        <v>2</v>
      </c>
      <c r="K17" s="28">
        <f t="shared" si="1"/>
        <v>0.81818181818181823</v>
      </c>
      <c r="L17" s="42">
        <f>VLOOKUP($A17,'EBA2017'!$A:$AZ,46,FALSE)</f>
        <v>4.1076166333377611</v>
      </c>
      <c r="M17" s="43">
        <f t="shared" si="2"/>
        <v>0.21556675901919656</v>
      </c>
      <c r="N17" s="42">
        <f t="shared" si="3"/>
        <v>0.59458285906700492</v>
      </c>
      <c r="O17" s="32">
        <f>VLOOKUP($A17,'EBA2017'!$A:$AZ,41,FALSE)</f>
        <v>8</v>
      </c>
      <c r="P17" s="1">
        <f>VLOOKUP($A17,'EBA2017'!$A:$AZ,42,FALSE)</f>
        <v>2</v>
      </c>
      <c r="Q17" s="1">
        <f>VLOOKUP($A17,'EBA2017'!$A:$AZ,43,FALSE)</f>
        <v>5.5</v>
      </c>
      <c r="R17" s="32">
        <f>IF(5="No Data","No Data",O17/(13-IF(O17&lt;13,VLOOKUP($A17,'Data Gaps'!$A:$Z,12,FALSE),0)))</f>
        <v>0.61538461538461542</v>
      </c>
      <c r="S17" s="1">
        <f>IF(P17="No Data","No Data",P17/(8-IF(P17&lt;8,VLOOKUP($A17,'Data Gaps'!$A:$Z,13,FALSE),0)))</f>
        <v>0.25</v>
      </c>
      <c r="T17" s="1">
        <f>IF(Q17="No Data","No Data",Q17/(9-IF(Q17&lt;9,VLOOKUP($A17,'Data Gaps'!$A:$Z,14,FALSE),0)))</f>
        <v>0.61111111111111116</v>
      </c>
      <c r="U17" s="32">
        <f t="shared" si="4"/>
        <v>51.776964639068289</v>
      </c>
    </row>
    <row r="18" spans="1:21" x14ac:dyDescent="0.35">
      <c r="A18" s="1" t="s">
        <v>96</v>
      </c>
      <c r="B18" s="28" t="s">
        <v>97</v>
      </c>
      <c r="C18" s="1" t="s">
        <v>38</v>
      </c>
      <c r="D18" s="1" t="s">
        <v>39</v>
      </c>
      <c r="E18" s="28" t="s">
        <v>40</v>
      </c>
      <c r="F18" s="28" t="s">
        <v>161</v>
      </c>
      <c r="G18" s="28" t="str">
        <f>VLOOKUP($A18,'EBA2017'!$A:$G,7,FALSE)</f>
        <v>One</v>
      </c>
      <c r="H18" s="32">
        <f>VLOOKUP($A18,'EBA2017'!$A:$AZ,44,FALSE)</f>
        <v>0</v>
      </c>
      <c r="I18" s="28">
        <f t="shared" si="0"/>
        <v>1</v>
      </c>
      <c r="J18" s="32">
        <f>VLOOKUP($A18,'EBA2017'!$A:$AZ,45,FALSE)</f>
        <v>0</v>
      </c>
      <c r="K18" s="28">
        <f t="shared" si="1"/>
        <v>1</v>
      </c>
      <c r="L18" s="42">
        <f>VLOOKUP($A18,'EBA2017'!$A:$AZ,46,FALSE)</f>
        <v>0</v>
      </c>
      <c r="M18" s="43">
        <f t="shared" si="2"/>
        <v>1</v>
      </c>
      <c r="N18" s="42">
        <f t="shared" si="3"/>
        <v>1</v>
      </c>
      <c r="O18" s="32">
        <f>VLOOKUP($A18,'EBA2017'!$A:$AZ,41,FALSE)</f>
        <v>8</v>
      </c>
      <c r="P18" s="1">
        <f>VLOOKUP($A18,'EBA2017'!$A:$AZ,42,FALSE)</f>
        <v>8</v>
      </c>
      <c r="Q18" s="1">
        <f>VLOOKUP($A18,'EBA2017'!$A:$AZ,43,FALSE)</f>
        <v>8</v>
      </c>
      <c r="R18" s="32">
        <f>IF(5="No Data","No Data",O18/(13-IF(O18&lt;13,VLOOKUP($A18,'Data Gaps'!$A:$Z,12,FALSE),0)))</f>
        <v>0.61538461538461542</v>
      </c>
      <c r="S18" s="1">
        <f>IF(P18="No Data","No Data",P18/(8-IF(P18&lt;8,VLOOKUP($A18,'Data Gaps'!$A:$Z,13,FALSE),0)))</f>
        <v>1</v>
      </c>
      <c r="T18" s="1">
        <f>IF(Q18="No Data","No Data",Q18/(9-IF(Q18&lt;9,VLOOKUP($A18,'Data Gaps'!$A:$Z,14,FALSE),0)))</f>
        <v>0.88888888888888884</v>
      </c>
      <c r="U18" s="32">
        <f t="shared" si="4"/>
        <v>87.606837606837601</v>
      </c>
    </row>
    <row r="19" spans="1:21" x14ac:dyDescent="0.35">
      <c r="A19" s="1" t="s">
        <v>94</v>
      </c>
      <c r="B19" s="28" t="s">
        <v>95</v>
      </c>
      <c r="C19" s="1" t="s">
        <v>12</v>
      </c>
      <c r="D19" s="1" t="s">
        <v>13</v>
      </c>
      <c r="E19" s="28" t="s">
        <v>18</v>
      </c>
      <c r="F19" s="28" t="s">
        <v>160</v>
      </c>
      <c r="G19" s="28" t="str">
        <f>VLOOKUP($A19,'EBA2017'!$A:$G,7,FALSE)</f>
        <v>One</v>
      </c>
      <c r="H19" s="32">
        <f>VLOOKUP($A19,'EBA2017'!$A:$AZ,44,FALSE)</f>
        <v>2</v>
      </c>
      <c r="I19" s="28">
        <f t="shared" si="0"/>
        <v>0.5</v>
      </c>
      <c r="J19" s="32">
        <f>VLOOKUP($A19,'EBA2017'!$A:$AZ,45,FALSE)</f>
        <v>2</v>
      </c>
      <c r="K19" s="28">
        <f t="shared" si="1"/>
        <v>0.81818181818181823</v>
      </c>
      <c r="L19" s="42">
        <f>VLOOKUP($A19,'EBA2017'!$A:$AZ,46,FALSE)</f>
        <v>0.66651220037249193</v>
      </c>
      <c r="M19" s="43">
        <f t="shared" si="2"/>
        <v>0.87271589046356635</v>
      </c>
      <c r="N19" s="42">
        <f t="shared" si="3"/>
        <v>0.73029923621512827</v>
      </c>
      <c r="O19" s="32">
        <f>VLOOKUP($A19,'EBA2017'!$A:$AZ,41,FALSE)</f>
        <v>6.85</v>
      </c>
      <c r="P19" s="1">
        <f>VLOOKUP($A19,'EBA2017'!$A:$AZ,42,FALSE)</f>
        <v>4</v>
      </c>
      <c r="Q19" s="1">
        <f>VLOOKUP($A19,'EBA2017'!$A:$AZ,43,FALSE)</f>
        <v>6</v>
      </c>
      <c r="R19" s="32">
        <f>IF(5="No Data","No Data",O19/(13-IF(O19&lt;13,VLOOKUP($A19,'Data Gaps'!$A:$Z,12,FALSE),0)))</f>
        <v>0.52692307692307694</v>
      </c>
      <c r="S19" s="1">
        <f>IF(P19="No Data","No Data",P19/(8-IF(P19&lt;8,VLOOKUP($A19,'Data Gaps'!$A:$Z,13,FALSE),0)))</f>
        <v>0.5</v>
      </c>
      <c r="T19" s="1">
        <f>IF(Q19="No Data","No Data",Q19/(9-IF(Q19&lt;9,VLOOKUP($A19,'Data Gaps'!$A:$Z,14,FALSE),0)))</f>
        <v>0.66666666666666663</v>
      </c>
      <c r="U19" s="32">
        <f t="shared" si="4"/>
        <v>60.597224495121793</v>
      </c>
    </row>
    <row r="20" spans="1:21" x14ac:dyDescent="0.35">
      <c r="A20" s="1" t="s">
        <v>104</v>
      </c>
      <c r="B20" s="28" t="s">
        <v>105</v>
      </c>
      <c r="C20" s="1" t="s">
        <v>21</v>
      </c>
      <c r="D20" s="1" t="s">
        <v>22</v>
      </c>
      <c r="E20" s="29" t="s">
        <v>25</v>
      </c>
      <c r="F20" s="28" t="s">
        <v>160</v>
      </c>
      <c r="G20" s="28" t="str">
        <f>VLOOKUP($A20,'EBA2017'!$A:$G,7,FALSE)</f>
        <v>One</v>
      </c>
      <c r="H20" s="32">
        <f>VLOOKUP($A20,'EBA2017'!$A:$AZ,44,FALSE)</f>
        <v>2</v>
      </c>
      <c r="I20" s="28">
        <f t="shared" si="0"/>
        <v>0.5</v>
      </c>
      <c r="J20" s="32">
        <f>VLOOKUP($A20,'EBA2017'!$A:$AZ,45,FALSE)</f>
        <v>11</v>
      </c>
      <c r="K20" s="28">
        <f t="shared" si="1"/>
        <v>0</v>
      </c>
      <c r="L20" s="42">
        <f>VLOOKUP($A20,'EBA2017'!$A:$AZ,46,FALSE)</f>
        <v>0.69350935350720011</v>
      </c>
      <c r="M20" s="43">
        <f t="shared" si="2"/>
        <v>0.86756023300545881</v>
      </c>
      <c r="N20" s="42">
        <f t="shared" si="3"/>
        <v>0.45585341100181959</v>
      </c>
      <c r="O20" s="32">
        <f>VLOOKUP($A20,'EBA2017'!$A:$AZ,41,FALSE)</f>
        <v>9.15</v>
      </c>
      <c r="P20" s="1">
        <f>VLOOKUP($A20,'EBA2017'!$A:$AZ,42,FALSE)</f>
        <v>5</v>
      </c>
      <c r="Q20" s="1">
        <f>VLOOKUP($A20,'EBA2017'!$A:$AZ,43,FALSE)</f>
        <v>6</v>
      </c>
      <c r="R20" s="32">
        <f>IF(5="No Data","No Data",O20/(13-IF(O20&lt;13,VLOOKUP($A20,'Data Gaps'!$A:$Z,12,FALSE),0)))</f>
        <v>0.7038461538461539</v>
      </c>
      <c r="S20" s="1">
        <f>IF(P20="No Data","No Data",P20/(8-IF(P20&lt;8,VLOOKUP($A20,'Data Gaps'!$A:$Z,13,FALSE),0)))</f>
        <v>0.625</v>
      </c>
      <c r="T20" s="1">
        <f>IF(Q20="No Data","No Data",Q20/(9-IF(Q20&lt;9,VLOOKUP($A20,'Data Gaps'!$A:$Z,14,FALSE),0)))</f>
        <v>0.66666666666666663</v>
      </c>
      <c r="U20" s="32">
        <f t="shared" si="4"/>
        <v>61.284155787865998</v>
      </c>
    </row>
    <row r="21" spans="1:21" x14ac:dyDescent="0.35">
      <c r="A21" s="1" t="s">
        <v>108</v>
      </c>
      <c r="B21" s="28" t="s">
        <v>109</v>
      </c>
      <c r="C21" s="1" t="s">
        <v>38</v>
      </c>
      <c r="D21" s="1" t="s">
        <v>39</v>
      </c>
      <c r="E21" s="29" t="s">
        <v>40</v>
      </c>
      <c r="F21" s="28" t="s">
        <v>162</v>
      </c>
      <c r="G21" s="28" t="str">
        <f>VLOOKUP($A21,'EBA2017'!$A:$G,7,FALSE)</f>
        <v>One</v>
      </c>
      <c r="H21" s="32">
        <f>VLOOKUP($A21,'EBA2017'!$A:$AZ,44,FALSE)</f>
        <v>0</v>
      </c>
      <c r="I21" s="28">
        <f t="shared" si="0"/>
        <v>1</v>
      </c>
      <c r="J21" s="32">
        <f>VLOOKUP($A21,'EBA2017'!$A:$AZ,45,FALSE)</f>
        <v>0</v>
      </c>
      <c r="K21" s="28">
        <f t="shared" si="1"/>
        <v>1</v>
      </c>
      <c r="L21" s="42">
        <f>VLOOKUP($A21,'EBA2017'!$A:$AZ,46,FALSE)</f>
        <v>0</v>
      </c>
      <c r="M21" s="43">
        <f t="shared" si="2"/>
        <v>1</v>
      </c>
      <c r="N21" s="42">
        <f t="shared" si="3"/>
        <v>1</v>
      </c>
      <c r="O21" s="32">
        <f>VLOOKUP($A21,'EBA2017'!$A:$AZ,41,FALSE)</f>
        <v>8.8000000000000007</v>
      </c>
      <c r="P21" s="1">
        <f>VLOOKUP($A21,'EBA2017'!$A:$AZ,42,FALSE)</f>
        <v>7.75</v>
      </c>
      <c r="Q21" s="1">
        <f>VLOOKUP($A21,'EBA2017'!$A:$AZ,43,FALSE)</f>
        <v>4.5</v>
      </c>
      <c r="R21" s="32">
        <f>IF(5="No Data","No Data",O21/(13-IF(O21&lt;13,VLOOKUP($A21,'Data Gaps'!$A:$Z,12,FALSE),0)))</f>
        <v>0.67692307692307696</v>
      </c>
      <c r="S21" s="1">
        <f>IF(P21="No Data","No Data",P21/(8-IF(P21&lt;8,VLOOKUP($A21,'Data Gaps'!$A:$Z,13,FALSE),0)))</f>
        <v>0.96875</v>
      </c>
      <c r="T21" s="1">
        <f>IF(Q21="No Data","No Data",Q21/(9-IF(Q21&lt;9,VLOOKUP($A21,'Data Gaps'!$A:$Z,14,FALSE),0)))</f>
        <v>0.5</v>
      </c>
      <c r="U21" s="32">
        <f t="shared" si="4"/>
        <v>78.641826923076934</v>
      </c>
    </row>
    <row r="22" spans="1:21" x14ac:dyDescent="0.35">
      <c r="A22" s="1" t="s">
        <v>110</v>
      </c>
      <c r="B22" s="28" t="s">
        <v>111</v>
      </c>
      <c r="C22" s="1" t="s">
        <v>7</v>
      </c>
      <c r="D22" s="1" t="s">
        <v>8</v>
      </c>
      <c r="E22" s="29" t="s">
        <v>25</v>
      </c>
      <c r="F22" s="28" t="s">
        <v>162</v>
      </c>
      <c r="G22" s="28" t="str">
        <f>VLOOKUP($A22,'EBA2017'!$A:$G,7,FALSE)</f>
        <v>One</v>
      </c>
      <c r="H22" s="32">
        <f>VLOOKUP($A22,'EBA2017'!$A:$AZ,44,FALSE)</f>
        <v>0</v>
      </c>
      <c r="I22" s="28">
        <f t="shared" si="0"/>
        <v>1</v>
      </c>
      <c r="J22" s="32">
        <f>VLOOKUP($A22,'EBA2017'!$A:$AZ,45,FALSE)</f>
        <v>0</v>
      </c>
      <c r="K22" s="28">
        <f t="shared" si="1"/>
        <v>1</v>
      </c>
      <c r="L22" s="42">
        <f>VLOOKUP($A22,'EBA2017'!$A:$AZ,46,FALSE)</f>
        <v>0</v>
      </c>
      <c r="M22" s="43">
        <f t="shared" si="2"/>
        <v>1</v>
      </c>
      <c r="N22" s="42">
        <f t="shared" si="3"/>
        <v>1</v>
      </c>
      <c r="O22" s="32">
        <f>VLOOKUP($A22,'EBA2017'!$A:$AZ,41,FALSE)</f>
        <v>7.3</v>
      </c>
      <c r="P22" s="1">
        <f>VLOOKUP($A22,'EBA2017'!$A:$AZ,42,FALSE)</f>
        <v>6.5</v>
      </c>
      <c r="Q22" s="1">
        <f>VLOOKUP($A22,'EBA2017'!$A:$AZ,43,FALSE)</f>
        <v>5</v>
      </c>
      <c r="R22" s="32">
        <f>IF(5="No Data","No Data",O22/(13-IF(O22&lt;13,VLOOKUP($A22,'Data Gaps'!$A:$Z,12,FALSE),0)))</f>
        <v>0.56153846153846154</v>
      </c>
      <c r="S22" s="1">
        <f>IF(P22="No Data","No Data",P22/(8-IF(P22&lt;8,VLOOKUP($A22,'Data Gaps'!$A:$Z,13,FALSE),0)))</f>
        <v>0.8125</v>
      </c>
      <c r="T22" s="1">
        <f>IF(Q22="No Data","No Data",Q22/(9-IF(Q22&lt;9,VLOOKUP($A22,'Data Gaps'!$A:$Z,14,FALSE),0)))</f>
        <v>0.55555555555555558</v>
      </c>
      <c r="U22" s="32">
        <f t="shared" si="4"/>
        <v>73.239850427350419</v>
      </c>
    </row>
    <row r="23" spans="1:21" x14ac:dyDescent="0.35">
      <c r="A23" s="1" t="s">
        <v>112</v>
      </c>
      <c r="B23" s="28" t="s">
        <v>113</v>
      </c>
      <c r="C23" s="1" t="s">
        <v>7</v>
      </c>
      <c r="D23" s="1" t="s">
        <v>8</v>
      </c>
      <c r="E23" s="29" t="s">
        <v>25</v>
      </c>
      <c r="F23" s="28" t="s">
        <v>162</v>
      </c>
      <c r="G23" s="28" t="str">
        <f>VLOOKUP($A23,'EBA2017'!$A:$G,7,FALSE)</f>
        <v>One</v>
      </c>
      <c r="H23" s="32">
        <f>VLOOKUP($A23,'EBA2017'!$A:$AZ,44,FALSE)</f>
        <v>4</v>
      </c>
      <c r="I23" s="28">
        <f t="shared" si="0"/>
        <v>0</v>
      </c>
      <c r="J23" s="32">
        <f>VLOOKUP($A23,'EBA2017'!$A:$AZ,45,FALSE)</f>
        <v>4</v>
      </c>
      <c r="K23" s="28">
        <f t="shared" si="1"/>
        <v>0.63636363636363635</v>
      </c>
      <c r="L23" s="42">
        <f>VLOOKUP($A23,'EBA2017'!$A:$AZ,46,FALSE)</f>
        <v>0.17727038307042275</v>
      </c>
      <c r="M23" s="43">
        <f t="shared" si="2"/>
        <v>0.96614660190212409</v>
      </c>
      <c r="N23" s="42">
        <f t="shared" si="3"/>
        <v>0.53417007942192019</v>
      </c>
      <c r="O23" s="32">
        <f>VLOOKUP($A23,'EBA2017'!$A:$AZ,41,FALSE)</f>
        <v>7.8</v>
      </c>
      <c r="P23" s="1">
        <f>VLOOKUP($A23,'EBA2017'!$A:$AZ,42,FALSE)</f>
        <v>6.5</v>
      </c>
      <c r="Q23" s="1">
        <f>VLOOKUP($A23,'EBA2017'!$A:$AZ,43,FALSE)</f>
        <v>7</v>
      </c>
      <c r="R23" s="32">
        <f>IF(5="No Data","No Data",O23/(13-IF(O23&lt;13,VLOOKUP($A23,'Data Gaps'!$A:$Z,12,FALSE),0)))</f>
        <v>0.6</v>
      </c>
      <c r="S23" s="1">
        <f>IF(P23="No Data","No Data",P23/(8-IF(P23&lt;8,VLOOKUP($A23,'Data Gaps'!$A:$Z,13,FALSE),0)))</f>
        <v>0.8125</v>
      </c>
      <c r="T23" s="1">
        <f>IF(Q23="No Data","No Data",Q23/(9-IF(Q23&lt;9,VLOOKUP($A23,'Data Gaps'!$A:$Z,14,FALSE),0)))</f>
        <v>0.77777777777777779</v>
      </c>
      <c r="U23" s="32">
        <f t="shared" si="4"/>
        <v>68.111196429992447</v>
      </c>
    </row>
    <row r="24" spans="1:21" x14ac:dyDescent="0.35">
      <c r="A24" s="1" t="s">
        <v>114</v>
      </c>
      <c r="B24" s="28" t="s">
        <v>115</v>
      </c>
      <c r="C24" s="1" t="s">
        <v>16</v>
      </c>
      <c r="D24" s="1" t="s">
        <v>17</v>
      </c>
      <c r="E24" s="29" t="s">
        <v>18</v>
      </c>
      <c r="F24" s="28" t="s">
        <v>160</v>
      </c>
      <c r="G24" s="28" t="str">
        <f>VLOOKUP($A24,'EBA2017'!$A:$G,7,FALSE)</f>
        <v>One</v>
      </c>
      <c r="H24" s="32">
        <f>VLOOKUP($A24,'EBA2017'!$A:$AZ,44,FALSE)</f>
        <v>1</v>
      </c>
      <c r="I24" s="28">
        <f t="shared" si="0"/>
        <v>0.75</v>
      </c>
      <c r="J24" s="32">
        <f>VLOOKUP($A24,'EBA2017'!$A:$AZ,45,FALSE)</f>
        <v>1</v>
      </c>
      <c r="K24" s="28">
        <f t="shared" si="1"/>
        <v>0.90909090909090906</v>
      </c>
      <c r="L24" s="42">
        <f>VLOOKUP($A24,'EBA2017'!$A:$AZ,46,FALSE)</f>
        <v>4.0451640079128652E-2</v>
      </c>
      <c r="M24" s="43">
        <f t="shared" si="2"/>
        <v>0.99227493362629726</v>
      </c>
      <c r="N24" s="42">
        <f t="shared" si="3"/>
        <v>0.88378861423906885</v>
      </c>
      <c r="O24" s="32">
        <f>VLOOKUP($A24,'EBA2017'!$A:$AZ,41,FALSE)</f>
        <v>9</v>
      </c>
      <c r="P24" s="1">
        <f>VLOOKUP($A24,'EBA2017'!$A:$AZ,42,FALSE)</f>
        <v>0.5</v>
      </c>
      <c r="Q24" s="1">
        <f>VLOOKUP($A24,'EBA2017'!$A:$AZ,43,FALSE)</f>
        <v>3</v>
      </c>
      <c r="R24" s="32">
        <f>IF(5="No Data","No Data",O24/(13-IF(O24&lt;13,VLOOKUP($A24,'Data Gaps'!$A:$Z,12,FALSE),0)))</f>
        <v>0.69230769230769229</v>
      </c>
      <c r="S24" s="1">
        <f>IF(P24="No Data","No Data",P24/(8-IF(P24&lt;8,VLOOKUP($A24,'Data Gaps'!$A:$Z,13,FALSE),0)))</f>
        <v>6.25E-2</v>
      </c>
      <c r="T24" s="1">
        <f>IF(Q24="No Data","No Data",Q24/(9-IF(Q24&lt;9,VLOOKUP($A24,'Data Gaps'!$A:$Z,14,FALSE),0)))</f>
        <v>0.33333333333333331</v>
      </c>
      <c r="U24" s="32">
        <f t="shared" si="4"/>
        <v>49.29824099700236</v>
      </c>
    </row>
    <row r="25" spans="1:21" x14ac:dyDescent="0.35">
      <c r="A25" s="1" t="s">
        <v>116</v>
      </c>
      <c r="B25" s="28" t="s">
        <v>117</v>
      </c>
      <c r="C25" s="1" t="s">
        <v>16</v>
      </c>
      <c r="D25" s="1" t="s">
        <v>17</v>
      </c>
      <c r="E25" s="29" t="s">
        <v>18</v>
      </c>
      <c r="F25" s="28" t="s">
        <v>162</v>
      </c>
      <c r="G25" s="28" t="str">
        <f>VLOOKUP($A25,'EBA2017'!$A:$G,7,FALSE)</f>
        <v>One</v>
      </c>
      <c r="H25" s="32">
        <f>VLOOKUP($A25,'EBA2017'!$A:$AZ,44,FALSE)</f>
        <v>2</v>
      </c>
      <c r="I25" s="28">
        <f t="shared" si="0"/>
        <v>0.5</v>
      </c>
      <c r="J25" s="32">
        <f>VLOOKUP($A25,'EBA2017'!$A:$AZ,45,FALSE)</f>
        <v>3</v>
      </c>
      <c r="K25" s="28">
        <f t="shared" si="1"/>
        <v>0.72727272727272729</v>
      </c>
      <c r="L25" s="42">
        <f>VLOOKUP($A25,'EBA2017'!$A:$AZ,46,FALSE)</f>
        <v>3.7684939640683495</v>
      </c>
      <c r="M25" s="43">
        <f t="shared" si="2"/>
        <v>0.28032915490250082</v>
      </c>
      <c r="N25" s="42">
        <f t="shared" si="3"/>
        <v>0.50253396072507606</v>
      </c>
      <c r="O25" s="32">
        <f>VLOOKUP($A25,'EBA2017'!$A:$AZ,41,FALSE)</f>
        <v>7.8</v>
      </c>
      <c r="P25" s="1">
        <f>VLOOKUP($A25,'EBA2017'!$A:$AZ,42,FALSE)</f>
        <v>3.5</v>
      </c>
      <c r="Q25" s="1">
        <f>VLOOKUP($A25,'EBA2017'!$A:$AZ,43,FALSE)</f>
        <v>4</v>
      </c>
      <c r="R25" s="32">
        <f>IF(5="No Data","No Data",O25/(13-IF(O25&lt;13,VLOOKUP($A25,'Data Gaps'!$A:$Z,12,FALSE),0)))</f>
        <v>0.6</v>
      </c>
      <c r="S25" s="1">
        <f>IF(P25="No Data","No Data",P25/(8-IF(P25&lt;8,VLOOKUP($A25,'Data Gaps'!$A:$Z,13,FALSE),0)))</f>
        <v>0.58333333333333337</v>
      </c>
      <c r="T25" s="1">
        <f>IF(Q25="No Data","No Data",Q25/(9-IF(Q25&lt;9,VLOOKUP($A25,'Data Gaps'!$A:$Z,14,FALSE),0)))</f>
        <v>0.5</v>
      </c>
      <c r="U25" s="32">
        <f t="shared" si="4"/>
        <v>54.646682351460242</v>
      </c>
    </row>
    <row r="26" spans="1:21" x14ac:dyDescent="0.35">
      <c r="A26" s="1" t="s">
        <v>118</v>
      </c>
      <c r="B26" s="28" t="s">
        <v>119</v>
      </c>
      <c r="C26" s="1" t="s">
        <v>7</v>
      </c>
      <c r="D26" s="1" t="s">
        <v>8</v>
      </c>
      <c r="E26" s="29" t="s">
        <v>25</v>
      </c>
      <c r="F26" s="28" t="s">
        <v>162</v>
      </c>
      <c r="G26" s="28" t="str">
        <f>VLOOKUP($A26,'EBA2017'!$A:$G,7,FALSE)</f>
        <v>One</v>
      </c>
      <c r="H26" s="32">
        <f>VLOOKUP($A26,'EBA2017'!$A:$AZ,44,FALSE)</f>
        <v>1</v>
      </c>
      <c r="I26" s="28">
        <f t="shared" si="0"/>
        <v>0.75</v>
      </c>
      <c r="J26" s="32">
        <f>VLOOKUP($A26,'EBA2017'!$A:$AZ,45,FALSE)</f>
        <v>2</v>
      </c>
      <c r="K26" s="28">
        <f t="shared" si="1"/>
        <v>0.81818181818181823</v>
      </c>
      <c r="L26" s="42">
        <f>VLOOKUP($A26,'EBA2017'!$A:$AZ,46,FALSE)</f>
        <v>0.15524333056323264</v>
      </c>
      <c r="M26" s="43">
        <f t="shared" si="2"/>
        <v>0.97035311719550221</v>
      </c>
      <c r="N26" s="42">
        <f t="shared" si="3"/>
        <v>0.8461783117924403</v>
      </c>
      <c r="O26" s="32">
        <f>VLOOKUP($A26,'EBA2017'!$A:$AZ,41,FALSE)</f>
        <v>7</v>
      </c>
      <c r="P26" s="1">
        <f>VLOOKUP($A26,'EBA2017'!$A:$AZ,42,FALSE)</f>
        <v>7</v>
      </c>
      <c r="Q26" s="1">
        <f>VLOOKUP($A26,'EBA2017'!$A:$AZ,43,FALSE)</f>
        <v>6.5</v>
      </c>
      <c r="R26" s="32">
        <f>IF(5="No Data","No Data",O26/(13-IF(O26&lt;13,VLOOKUP($A26,'Data Gaps'!$A:$Z,12,FALSE),0)))</f>
        <v>0.53846153846153844</v>
      </c>
      <c r="S26" s="1">
        <f>IF(P26="No Data","No Data",P26/(8-IF(P26&lt;8,VLOOKUP($A26,'Data Gaps'!$A:$Z,13,FALSE),0)))</f>
        <v>0.875</v>
      </c>
      <c r="T26" s="1">
        <f>IF(Q26="No Data","No Data",Q26/(9-IF(Q26&lt;9,VLOOKUP($A26,'Data Gaps'!$A:$Z,14,FALSE),0)))</f>
        <v>0.8125</v>
      </c>
      <c r="U26" s="32">
        <f t="shared" si="4"/>
        <v>76.803496256349462</v>
      </c>
    </row>
    <row r="27" spans="1:21" x14ac:dyDescent="0.35">
      <c r="A27" s="1" t="s">
        <v>126</v>
      </c>
      <c r="B27" s="28" t="s">
        <v>127</v>
      </c>
      <c r="C27" s="1" t="s">
        <v>7</v>
      </c>
      <c r="D27" s="1" t="s">
        <v>8</v>
      </c>
      <c r="E27" s="29" t="s">
        <v>9</v>
      </c>
      <c r="F27" s="28" t="s">
        <v>159</v>
      </c>
      <c r="G27" s="28" t="str">
        <f>VLOOKUP($A27,'EBA2017'!$A:$G,7,FALSE)</f>
        <v>One</v>
      </c>
      <c r="H27" s="32">
        <f>VLOOKUP($A27,'EBA2017'!$A:$AZ,44,FALSE)</f>
        <v>2</v>
      </c>
      <c r="I27" s="28">
        <f t="shared" si="0"/>
        <v>0.5</v>
      </c>
      <c r="J27" s="32">
        <f>VLOOKUP($A27,'EBA2017'!$A:$AZ,45,FALSE)</f>
        <v>6</v>
      </c>
      <c r="K27" s="28">
        <f t="shared" si="1"/>
        <v>0.45454545454545453</v>
      </c>
      <c r="L27" s="42">
        <f>VLOOKUP($A27,'EBA2017'!$A:$AZ,46,FALSE)</f>
        <v>4.2696010991486055</v>
      </c>
      <c r="M27" s="43">
        <f t="shared" si="2"/>
        <v>0.18463251883882856</v>
      </c>
      <c r="N27" s="42">
        <f t="shared" si="3"/>
        <v>0.37972599112809435</v>
      </c>
      <c r="O27" s="32">
        <f>VLOOKUP($A27,'EBA2017'!$A:$AZ,41,FALSE)</f>
        <v>9</v>
      </c>
      <c r="P27" s="1">
        <f>VLOOKUP($A27,'EBA2017'!$A:$AZ,42,FALSE)</f>
        <v>4.5</v>
      </c>
      <c r="Q27" s="1">
        <f>VLOOKUP($A27,'EBA2017'!$A:$AZ,43,FALSE)</f>
        <v>5.5</v>
      </c>
      <c r="R27" s="32">
        <f>IF(5="No Data","No Data",O27/(13-IF(O27&lt;13,VLOOKUP($A27,'Data Gaps'!$A:$Z,12,FALSE),0)))</f>
        <v>0.69230769230769229</v>
      </c>
      <c r="S27" s="1">
        <f>IF(P27="No Data","No Data",P27/(8-IF(P27&lt;8,VLOOKUP($A27,'Data Gaps'!$A:$Z,13,FALSE),0)))</f>
        <v>0.5625</v>
      </c>
      <c r="T27" s="1">
        <f>IF(Q27="No Data","No Data",Q27/(9-IF(Q27&lt;9,VLOOKUP($A27,'Data Gaps'!$A:$Z,14,FALSE),0)))</f>
        <v>0.6875</v>
      </c>
      <c r="U27" s="32">
        <f t="shared" si="4"/>
        <v>58.050842085894658</v>
      </c>
    </row>
    <row r="28" spans="1:21" x14ac:dyDescent="0.35">
      <c r="A28" s="1" t="s">
        <v>132</v>
      </c>
      <c r="B28" s="28" t="s">
        <v>133</v>
      </c>
      <c r="C28" s="1" t="s">
        <v>7</v>
      </c>
      <c r="D28" s="1" t="s">
        <v>8</v>
      </c>
      <c r="E28" s="28" t="s">
        <v>25</v>
      </c>
      <c r="F28" s="28" t="s">
        <v>159</v>
      </c>
      <c r="G28" s="28" t="str">
        <f>VLOOKUP($A28,'EBA2017'!$A:$G,7,FALSE)</f>
        <v>One</v>
      </c>
      <c r="H28" s="32">
        <f>VLOOKUP($A28,'EBA2017'!$A:$AZ,44,FALSE)</f>
        <v>3</v>
      </c>
      <c r="I28" s="28">
        <f t="shared" si="0"/>
        <v>0.25</v>
      </c>
      <c r="J28" s="32">
        <f>VLOOKUP($A28,'EBA2017'!$A:$AZ,45,FALSE)</f>
        <v>3</v>
      </c>
      <c r="K28" s="28">
        <f t="shared" si="1"/>
        <v>0.72727272727272729</v>
      </c>
      <c r="L28" s="42">
        <f>VLOOKUP($A28,'EBA2017'!$A:$AZ,46,FALSE)</f>
        <v>0.44905817567408512</v>
      </c>
      <c r="M28" s="43">
        <f t="shared" si="2"/>
        <v>0.91424317516050335</v>
      </c>
      <c r="N28" s="42">
        <f t="shared" si="3"/>
        <v>0.63050530081107692</v>
      </c>
      <c r="O28" s="32">
        <f>VLOOKUP($A28,'EBA2017'!$A:$AZ,41,FALSE)</f>
        <v>5.0999999999999996</v>
      </c>
      <c r="P28" s="1">
        <f>VLOOKUP($A28,'EBA2017'!$A:$AZ,42,FALSE)</f>
        <v>7</v>
      </c>
      <c r="Q28" s="1">
        <f>VLOOKUP($A28,'EBA2017'!$A:$AZ,43,FALSE)</f>
        <v>4</v>
      </c>
      <c r="R28" s="32">
        <f>IF(5="No Data","No Data",O28/(13-IF(O28&lt;13,VLOOKUP($A28,'Data Gaps'!$A:$Z,12,FALSE),0)))</f>
        <v>0.3923076923076923</v>
      </c>
      <c r="S28" s="1">
        <f>IF(P28="No Data","No Data",P28/(8-IF(P28&lt;8,VLOOKUP($A28,'Data Gaps'!$A:$Z,13,FALSE),0)))</f>
        <v>0.875</v>
      </c>
      <c r="T28" s="1">
        <f>IF(Q28="No Data","No Data",Q28/(9-IF(Q28&lt;9,VLOOKUP($A28,'Data Gaps'!$A:$Z,14,FALSE),0)))</f>
        <v>0.5</v>
      </c>
      <c r="U28" s="32">
        <f t="shared" si="4"/>
        <v>59.945324827969237</v>
      </c>
    </row>
    <row r="29" spans="1:21" x14ac:dyDescent="0.35">
      <c r="A29" s="1" t="s">
        <v>136</v>
      </c>
      <c r="B29" s="28" t="s">
        <v>137</v>
      </c>
      <c r="C29" s="1" t="s">
        <v>7</v>
      </c>
      <c r="D29" s="1" t="s">
        <v>8</v>
      </c>
      <c r="E29" s="28" t="s">
        <v>9</v>
      </c>
      <c r="F29" s="28" t="s">
        <v>162</v>
      </c>
      <c r="G29" s="28" t="str">
        <f>VLOOKUP($A29,'EBA2017'!$A:$G,7,FALSE)</f>
        <v>One</v>
      </c>
      <c r="H29" s="32">
        <f>VLOOKUP($A29,'EBA2017'!$A:$AZ,44,FALSE)</f>
        <v>3</v>
      </c>
      <c r="I29" s="28">
        <f t="shared" si="0"/>
        <v>0.25</v>
      </c>
      <c r="J29" s="32">
        <f>VLOOKUP($A29,'EBA2017'!$A:$AZ,45,FALSE)</f>
        <v>5</v>
      </c>
      <c r="K29" s="28">
        <f t="shared" si="1"/>
        <v>0.54545454545454541</v>
      </c>
      <c r="L29" s="42">
        <f>VLOOKUP($A29,'EBA2017'!$A:$AZ,46,FALSE)</f>
        <v>0.91585441941597401</v>
      </c>
      <c r="M29" s="43">
        <f t="shared" si="2"/>
        <v>0.82509890415326159</v>
      </c>
      <c r="N29" s="42">
        <f t="shared" si="3"/>
        <v>0.54018448320260237</v>
      </c>
      <c r="O29" s="32">
        <f>VLOOKUP($A29,'EBA2017'!$A:$AZ,41,FALSE)</f>
        <v>8.3999999999999986</v>
      </c>
      <c r="P29" s="1">
        <f>VLOOKUP($A29,'EBA2017'!$A:$AZ,42,FALSE)</f>
        <v>4.5</v>
      </c>
      <c r="Q29" s="1">
        <f>VLOOKUP($A29,'EBA2017'!$A:$AZ,43,FALSE)</f>
        <v>5</v>
      </c>
      <c r="R29" s="32">
        <f>IF(5="No Data","No Data",O29/(13-IF(O29&lt;13,VLOOKUP($A29,'Data Gaps'!$A:$Z,12,FALSE),0)))</f>
        <v>0.64615384615384608</v>
      </c>
      <c r="S29" s="1">
        <f>IF(P29="No Data","No Data",P29/(8-IF(P29&lt;8,VLOOKUP($A29,'Data Gaps'!$A:$Z,13,FALSE),0)))</f>
        <v>0.6428571428571429</v>
      </c>
      <c r="T29" s="1">
        <f>IF(Q29="No Data","No Data",Q29/(9-IF(Q29&lt;9,VLOOKUP($A29,'Data Gaps'!$A:$Z,14,FALSE),0)))</f>
        <v>0.625</v>
      </c>
      <c r="U29" s="32">
        <f t="shared" si="4"/>
        <v>61.354886805339781</v>
      </c>
    </row>
    <row r="30" spans="1:21" x14ac:dyDescent="0.35">
      <c r="A30" s="1" t="s">
        <v>28</v>
      </c>
      <c r="B30" s="28" t="s">
        <v>29</v>
      </c>
      <c r="C30" s="1" t="s">
        <v>16</v>
      </c>
      <c r="D30" s="1" t="s">
        <v>17</v>
      </c>
      <c r="E30" s="29" t="s">
        <v>18</v>
      </c>
      <c r="F30" s="28" t="s">
        <v>160</v>
      </c>
      <c r="G30" s="28" t="str">
        <f>VLOOKUP($A30,'EBA2017'!$A:$G,7,FALSE)</f>
        <v>Two</v>
      </c>
      <c r="H30" s="32">
        <f>VLOOKUP($A30,'EBA2017'!$A:$AZ,44,FALSE)</f>
        <v>4</v>
      </c>
      <c r="I30" s="28">
        <f t="shared" si="0"/>
        <v>0</v>
      </c>
      <c r="J30" s="32">
        <f>VLOOKUP($A30,'EBA2017'!$A:$AZ,45,FALSE)</f>
        <v>4</v>
      </c>
      <c r="K30" s="28">
        <f t="shared" si="1"/>
        <v>0.63636363636363635</v>
      </c>
      <c r="L30" s="42">
        <f>VLOOKUP($A30,'EBA2017'!$A:$AZ,46,FALSE)</f>
        <v>3.0611249214041747</v>
      </c>
      <c r="M30" s="43">
        <f t="shared" si="2"/>
        <v>0.41541571244612929</v>
      </c>
      <c r="N30" s="42">
        <f t="shared" si="3"/>
        <v>0.3505931162699219</v>
      </c>
      <c r="O30" s="32">
        <f>VLOOKUP($A30,'EBA2017'!$A:$AZ,41,FALSE)</f>
        <v>7</v>
      </c>
      <c r="P30" s="1">
        <f>VLOOKUP($A30,'EBA2017'!$A:$AZ,42,FALSE)</f>
        <v>3</v>
      </c>
      <c r="Q30" s="1">
        <f>VLOOKUP($A30,'EBA2017'!$A:$AZ,43,FALSE)</f>
        <v>3</v>
      </c>
      <c r="R30" s="32">
        <f>IF(5="No Data","No Data",O30/(13-IF(O30&lt;13,VLOOKUP($A30,'Data Gaps'!$A:$Z,12,FALSE),0)))</f>
        <v>0.53846153846153844</v>
      </c>
      <c r="S30" s="1">
        <f>IF(P30="No Data","No Data",P30/(8-IF(P30&lt;8,VLOOKUP($A30,'Data Gaps'!$A:$Z,13,FALSE),0)))</f>
        <v>0.375</v>
      </c>
      <c r="T30" s="1">
        <f>IF(Q30="No Data","No Data",Q30/(9-IF(Q30&lt;9,VLOOKUP($A30,'Data Gaps'!$A:$Z,14,FALSE),0)))</f>
        <v>0.33333333333333331</v>
      </c>
      <c r="U30" s="32">
        <f t="shared" si="4"/>
        <v>39.934699701619842</v>
      </c>
    </row>
    <row r="31" spans="1:21" x14ac:dyDescent="0.35">
      <c r="A31" s="1" t="s">
        <v>14</v>
      </c>
      <c r="B31" s="28" t="s">
        <v>15</v>
      </c>
      <c r="C31" s="1" t="s">
        <v>16</v>
      </c>
      <c r="D31" s="1" t="s">
        <v>17</v>
      </c>
      <c r="E31" s="29" t="s">
        <v>18</v>
      </c>
      <c r="F31" s="28" t="s">
        <v>159</v>
      </c>
      <c r="G31" s="28" t="str">
        <f>VLOOKUP($A31,'EBA2017'!$A:$G,7,FALSE)</f>
        <v>Two</v>
      </c>
      <c r="H31" s="32">
        <f>VLOOKUP($A31,'EBA2017'!$A:$AZ,44,FALSE)</f>
        <v>1</v>
      </c>
      <c r="I31" s="28">
        <f t="shared" si="0"/>
        <v>0.75</v>
      </c>
      <c r="J31" s="32">
        <f>VLOOKUP($A31,'EBA2017'!$A:$AZ,45,FALSE)</f>
        <v>2</v>
      </c>
      <c r="K31" s="28">
        <f t="shared" si="1"/>
        <v>0.81818181818181823</v>
      </c>
      <c r="L31" s="42">
        <f>VLOOKUP($A31,'EBA2017'!$A:$AZ,46,FALSE)</f>
        <v>0.98048125778060613</v>
      </c>
      <c r="M31" s="43">
        <f t="shared" si="2"/>
        <v>0.81275709020176912</v>
      </c>
      <c r="N31" s="42">
        <f t="shared" si="3"/>
        <v>0.79364630279452919</v>
      </c>
      <c r="O31" s="32">
        <f>VLOOKUP($A31,'EBA2017'!$A:$AZ,41,FALSE)</f>
        <v>7.5</v>
      </c>
      <c r="P31" s="1">
        <f>VLOOKUP($A31,'EBA2017'!$A:$AZ,42,FALSE)</f>
        <v>3</v>
      </c>
      <c r="Q31" s="1">
        <f>VLOOKUP($A31,'EBA2017'!$A:$AZ,43,FALSE)</f>
        <v>4.5</v>
      </c>
      <c r="R31" s="32">
        <f>IF(5="No Data","No Data",O31/(13-IF(O31&lt;13,VLOOKUP($A31,'Data Gaps'!$A:$Z,12,FALSE),0)))</f>
        <v>0.57692307692307687</v>
      </c>
      <c r="S31" s="1">
        <f>IF(P31="No Data","No Data",P31/(8-IF(P31&lt;8,VLOOKUP($A31,'Data Gaps'!$A:$Z,13,FALSE),0)))</f>
        <v>0.375</v>
      </c>
      <c r="T31" s="1">
        <f>IF(Q31="No Data","No Data",Q31/(9-IF(Q31&lt;9,VLOOKUP($A31,'Data Gaps'!$A:$Z,14,FALSE),0)))</f>
        <v>0.5</v>
      </c>
      <c r="U31" s="32">
        <f t="shared" si="4"/>
        <v>56.139234492940147</v>
      </c>
    </row>
    <row r="32" spans="1:21" x14ac:dyDescent="0.35">
      <c r="A32" s="1" t="s">
        <v>26</v>
      </c>
      <c r="B32" s="28" t="s">
        <v>27</v>
      </c>
      <c r="C32" s="1" t="s">
        <v>16</v>
      </c>
      <c r="D32" s="1" t="s">
        <v>17</v>
      </c>
      <c r="E32" s="29" t="s">
        <v>18</v>
      </c>
      <c r="F32" s="28" t="s">
        <v>159</v>
      </c>
      <c r="G32" s="28" t="str">
        <f>VLOOKUP($A32,'EBA2017'!$A:$G,7,FALSE)</f>
        <v>Two</v>
      </c>
      <c r="H32" s="32">
        <f>VLOOKUP($A32,'EBA2017'!$A:$AZ,44,FALSE)</f>
        <v>2</v>
      </c>
      <c r="I32" s="28">
        <f t="shared" si="0"/>
        <v>0.5</v>
      </c>
      <c r="J32" s="32">
        <f>VLOOKUP($A32,'EBA2017'!$A:$AZ,45,FALSE)</f>
        <v>2</v>
      </c>
      <c r="K32" s="28">
        <f t="shared" si="1"/>
        <v>0.81818181818181823</v>
      </c>
      <c r="L32" s="42">
        <f>VLOOKUP($A32,'EBA2017'!$A:$AZ,46,FALSE)</f>
        <v>2.2486514634766546</v>
      </c>
      <c r="M32" s="43">
        <f t="shared" si="2"/>
        <v>0.57057410348007631</v>
      </c>
      <c r="N32" s="42">
        <f t="shared" si="3"/>
        <v>0.62958530722063155</v>
      </c>
      <c r="O32" s="32">
        <f>VLOOKUP($A32,'EBA2017'!$A:$AZ,41,FALSE)</f>
        <v>9.75</v>
      </c>
      <c r="P32" s="1">
        <f>VLOOKUP($A32,'EBA2017'!$A:$AZ,42,FALSE)</f>
        <v>2</v>
      </c>
      <c r="Q32" s="1">
        <f>VLOOKUP($A32,'EBA2017'!$A:$AZ,43,FALSE)</f>
        <v>5</v>
      </c>
      <c r="R32" s="32">
        <f>IF(5="No Data","No Data",O32/(13-IF(O32&lt;13,VLOOKUP($A32,'Data Gaps'!$A:$Z,12,FALSE),0)))</f>
        <v>0.75</v>
      </c>
      <c r="S32" s="1">
        <f>IF(P32="No Data","No Data",P32/(8-IF(P32&lt;8,VLOOKUP($A32,'Data Gaps'!$A:$Z,13,FALSE),0)))</f>
        <v>0.25</v>
      </c>
      <c r="T32" s="1">
        <f>IF(Q32="No Data","No Data",Q32/(9-IF(Q32&lt;9,VLOOKUP($A32,'Data Gaps'!$A:$Z,14,FALSE),0)))</f>
        <v>0.55555555555555558</v>
      </c>
      <c r="U32" s="32">
        <f t="shared" si="4"/>
        <v>54.628521569404676</v>
      </c>
    </row>
    <row r="33" spans="1:21" x14ac:dyDescent="0.35">
      <c r="A33" s="1" t="s">
        <v>10</v>
      </c>
      <c r="B33" s="28" t="s">
        <v>11</v>
      </c>
      <c r="C33" s="1" t="s">
        <v>12</v>
      </c>
      <c r="D33" s="1" t="s">
        <v>13</v>
      </c>
      <c r="E33" s="29" t="s">
        <v>9</v>
      </c>
      <c r="F33" s="28" t="s">
        <v>159</v>
      </c>
      <c r="G33" s="28" t="str">
        <f>VLOOKUP($A33,'EBA2017'!$A:$G,7,FALSE)</f>
        <v>Two</v>
      </c>
      <c r="H33" s="32">
        <f>VLOOKUP($A33,'EBA2017'!$A:$AZ,44,FALSE)</f>
        <v>1</v>
      </c>
      <c r="I33" s="28">
        <f t="shared" si="0"/>
        <v>0.75</v>
      </c>
      <c r="J33" s="32">
        <f>VLOOKUP($A33,'EBA2017'!$A:$AZ,45,FALSE)</f>
        <v>1</v>
      </c>
      <c r="K33" s="28">
        <f t="shared" si="1"/>
        <v>0.90909090909090906</v>
      </c>
      <c r="L33" s="42">
        <f>VLOOKUP($A33,'EBA2017'!$A:$AZ,46,FALSE)</f>
        <v>0.14939359197745775</v>
      </c>
      <c r="M33" s="43">
        <f t="shared" si="2"/>
        <v>0.97147024418356787</v>
      </c>
      <c r="N33" s="42">
        <f t="shared" si="3"/>
        <v>0.8768537177581589</v>
      </c>
      <c r="O33" s="32">
        <f>VLOOKUP($A33,'EBA2017'!$A:$AZ,41,FALSE)</f>
        <v>6</v>
      </c>
      <c r="P33" s="1">
        <f>VLOOKUP($A33,'EBA2017'!$A:$AZ,42,FALSE)</f>
        <v>6</v>
      </c>
      <c r="Q33" s="1">
        <f>VLOOKUP($A33,'EBA2017'!$A:$AZ,43,FALSE)</f>
        <v>5</v>
      </c>
      <c r="R33" s="32">
        <f>IF(5="No Data","No Data",O33/(13-IF(O33&lt;13,VLOOKUP($A33,'Data Gaps'!$A:$Z,12,FALSE),0)))</f>
        <v>0.46153846153846156</v>
      </c>
      <c r="S33" s="1">
        <f>IF(P33="No Data","No Data",P33/(8-IF(P33&lt;8,VLOOKUP($A33,'Data Gaps'!$A:$Z,13,FALSE),0)))</f>
        <v>0.75</v>
      </c>
      <c r="T33" s="1">
        <f>IF(Q33="No Data","No Data",Q33/(9-IF(Q33&lt;9,VLOOKUP($A33,'Data Gaps'!$A:$Z,14,FALSE),0)))</f>
        <v>0.55555555555555558</v>
      </c>
      <c r="U33" s="32">
        <f t="shared" si="4"/>
        <v>66.098693371304407</v>
      </c>
    </row>
    <row r="34" spans="1:21" x14ac:dyDescent="0.35">
      <c r="A34" s="1" t="s">
        <v>19</v>
      </c>
      <c r="B34" s="28" t="s">
        <v>20</v>
      </c>
      <c r="C34" s="1" t="s">
        <v>21</v>
      </c>
      <c r="D34" s="1" t="s">
        <v>22</v>
      </c>
      <c r="E34" s="29" t="s">
        <v>9</v>
      </c>
      <c r="F34" s="28" t="s">
        <v>162</v>
      </c>
      <c r="G34" s="28" t="str">
        <f>VLOOKUP($A34,'EBA2017'!$A:$G,7,FALSE)</f>
        <v>Two</v>
      </c>
      <c r="H34" s="32">
        <f>VLOOKUP($A34,'EBA2017'!$A:$AZ,44,FALSE)</f>
        <v>1</v>
      </c>
      <c r="I34" s="28">
        <f t="shared" si="0"/>
        <v>0.75</v>
      </c>
      <c r="J34" s="32">
        <f>VLOOKUP($A34,'EBA2017'!$A:$AZ,45,FALSE)</f>
        <v>2</v>
      </c>
      <c r="K34" s="28">
        <f t="shared" si="1"/>
        <v>0.81818181818181823</v>
      </c>
      <c r="L34" s="42">
        <f>VLOOKUP($A34,'EBA2017'!$A:$AZ,46,FALSE)</f>
        <v>1.8574718750218087</v>
      </c>
      <c r="M34" s="43">
        <f t="shared" si="2"/>
        <v>0.64527783066988187</v>
      </c>
      <c r="N34" s="42">
        <f t="shared" si="3"/>
        <v>0.73781988295056677</v>
      </c>
      <c r="O34" s="32">
        <f>VLOOKUP($A34,'EBA2017'!$A:$AZ,41,FALSE)</f>
        <v>10.75</v>
      </c>
      <c r="P34" s="1">
        <f>VLOOKUP($A34,'EBA2017'!$A:$AZ,42,FALSE)</f>
        <v>4</v>
      </c>
      <c r="Q34" s="1">
        <f>VLOOKUP($A34,'EBA2017'!$A:$AZ,43,FALSE)</f>
        <v>5</v>
      </c>
      <c r="R34" s="32">
        <f>IF(5="No Data","No Data",O34/(13-IF(O34&lt;13,VLOOKUP($A34,'Data Gaps'!$A:$Z,12,FALSE),0)))</f>
        <v>0.82692307692307687</v>
      </c>
      <c r="S34" s="1">
        <f>IF(P34="No Data","No Data",P34/(8-IF(P34&lt;8,VLOOKUP($A34,'Data Gaps'!$A:$Z,13,FALSE),0)))</f>
        <v>0.5</v>
      </c>
      <c r="T34" s="1">
        <f>IF(Q34="No Data","No Data",Q34/(9-IF(Q34&lt;9,VLOOKUP($A34,'Data Gaps'!$A:$Z,14,FALSE),0)))</f>
        <v>0.55555555555555558</v>
      </c>
      <c r="U34" s="32">
        <f t="shared" si="4"/>
        <v>65.507462885729979</v>
      </c>
    </row>
    <row r="35" spans="1:21" x14ac:dyDescent="0.35">
      <c r="A35" s="1" t="s">
        <v>43</v>
      </c>
      <c r="B35" s="28" t="s">
        <v>44</v>
      </c>
      <c r="C35" s="1" t="s">
        <v>16</v>
      </c>
      <c r="D35" s="1" t="s">
        <v>17</v>
      </c>
      <c r="E35" s="29" t="s">
        <v>9</v>
      </c>
      <c r="F35" s="28" t="s">
        <v>160</v>
      </c>
      <c r="G35" s="28" t="str">
        <f>VLOOKUP($A35,'EBA2017'!$A:$G,7,FALSE)</f>
        <v>Two</v>
      </c>
      <c r="H35" s="32">
        <f>VLOOKUP($A35,'EBA2017'!$A:$AZ,44,FALSE)</f>
        <v>3</v>
      </c>
      <c r="I35" s="28">
        <f t="shared" si="0"/>
        <v>0.25</v>
      </c>
      <c r="J35" s="32">
        <f>VLOOKUP($A35,'EBA2017'!$A:$AZ,45,FALSE)</f>
        <v>11</v>
      </c>
      <c r="K35" s="28">
        <f t="shared" si="1"/>
        <v>0</v>
      </c>
      <c r="L35" s="42">
        <f>VLOOKUP($A35,'EBA2017'!$A:$AZ,46,FALSE)</f>
        <v>3.1232686661428306</v>
      </c>
      <c r="M35" s="43">
        <f t="shared" si="2"/>
        <v>0.40354809590752933</v>
      </c>
      <c r="N35" s="42">
        <f t="shared" si="3"/>
        <v>0.21784936530250976</v>
      </c>
      <c r="O35" s="32">
        <f>VLOOKUP($A35,'EBA2017'!$A:$AZ,41,FALSE)</f>
        <v>7.5</v>
      </c>
      <c r="P35" s="1">
        <f>VLOOKUP($A35,'EBA2017'!$A:$AZ,42,FALSE)</f>
        <v>2</v>
      </c>
      <c r="Q35" s="1">
        <f>VLOOKUP($A35,'EBA2017'!$A:$AZ,43,FALSE)</f>
        <v>2</v>
      </c>
      <c r="R35" s="32">
        <f>IF(5="No Data","No Data",O35/(13-IF(O35&lt;13,VLOOKUP($A35,'Data Gaps'!$A:$Z,12,FALSE),0)))</f>
        <v>0.57692307692307687</v>
      </c>
      <c r="S35" s="1">
        <f>IF(P35="No Data","No Data",P35/(8-IF(P35&lt;8,VLOOKUP($A35,'Data Gaps'!$A:$Z,13,FALSE),0)))</f>
        <v>0.25</v>
      </c>
      <c r="T35" s="1">
        <f>IF(Q35="No Data","No Data",Q35/(9-IF(Q35&lt;9,VLOOKUP($A35,'Data Gaps'!$A:$Z,14,FALSE),0)))</f>
        <v>0.22222222222222221</v>
      </c>
      <c r="U35" s="32">
        <f t="shared" si="4"/>
        <v>31.674866611195217</v>
      </c>
    </row>
    <row r="36" spans="1:21" x14ac:dyDescent="0.35">
      <c r="A36" s="1" t="s">
        <v>34</v>
      </c>
      <c r="B36" s="28" t="s">
        <v>35</v>
      </c>
      <c r="C36" s="1" t="s">
        <v>16</v>
      </c>
      <c r="D36" s="1" t="s">
        <v>17</v>
      </c>
      <c r="E36" s="29" t="s">
        <v>9</v>
      </c>
      <c r="F36" s="28" t="s">
        <v>160</v>
      </c>
      <c r="G36" s="28" t="str">
        <f>VLOOKUP($A36,'EBA2017'!$A:$G,7,FALSE)</f>
        <v>Two</v>
      </c>
      <c r="H36" s="32">
        <f>VLOOKUP($A36,'EBA2017'!$A:$AZ,44,FALSE)</f>
        <v>1</v>
      </c>
      <c r="I36" s="28">
        <f t="shared" si="0"/>
        <v>0.75</v>
      </c>
      <c r="J36" s="32">
        <f>VLOOKUP($A36,'EBA2017'!$A:$AZ,45,FALSE)</f>
        <v>8</v>
      </c>
      <c r="K36" s="28">
        <f t="shared" si="1"/>
        <v>0.27272727272727271</v>
      </c>
      <c r="L36" s="42">
        <f>VLOOKUP($A36,'EBA2017'!$A:$AZ,46,FALSE)</f>
        <v>0.68778264357688079</v>
      </c>
      <c r="M36" s="43">
        <f t="shared" si="2"/>
        <v>0.86865386516049925</v>
      </c>
      <c r="N36" s="42">
        <f t="shared" si="3"/>
        <v>0.63046037929592391</v>
      </c>
      <c r="O36" s="32">
        <f>VLOOKUP($A36,'EBA2017'!$A:$AZ,41,FALSE)</f>
        <v>10</v>
      </c>
      <c r="P36" s="1">
        <f>VLOOKUP($A36,'EBA2017'!$A:$AZ,42,FALSE)</f>
        <v>4</v>
      </c>
      <c r="Q36" s="1">
        <f>VLOOKUP($A36,'EBA2017'!$A:$AZ,43,FALSE)</f>
        <v>2</v>
      </c>
      <c r="R36" s="32">
        <f>IF(5="No Data","No Data",O36/(13-IF(O36&lt;13,VLOOKUP($A36,'Data Gaps'!$A:$Z,12,FALSE),0)))</f>
        <v>0.76923076923076927</v>
      </c>
      <c r="S36" s="1">
        <f>IF(P36="No Data","No Data",P36/(8-IF(P36&lt;8,VLOOKUP($A36,'Data Gaps'!$A:$Z,13,FALSE),0)))</f>
        <v>0.5</v>
      </c>
      <c r="T36" s="1">
        <f>IF(Q36="No Data","No Data",Q36/(9-IF(Q36&lt;9,VLOOKUP($A36,'Data Gaps'!$A:$Z,14,FALSE),0)))</f>
        <v>0.22222222222222221</v>
      </c>
      <c r="U36" s="32">
        <f t="shared" si="4"/>
        <v>53.04783426872288</v>
      </c>
    </row>
    <row r="37" spans="1:21" x14ac:dyDescent="0.35">
      <c r="A37" s="1" t="s">
        <v>41</v>
      </c>
      <c r="B37" s="28" t="s">
        <v>42</v>
      </c>
      <c r="C37" s="1" t="s">
        <v>21</v>
      </c>
      <c r="D37" s="1" t="s">
        <v>22</v>
      </c>
      <c r="E37" s="29" t="s">
        <v>25</v>
      </c>
      <c r="F37" s="28" t="s">
        <v>160</v>
      </c>
      <c r="G37" s="28" t="str">
        <f>VLOOKUP($A37,'EBA2017'!$A:$G,7,FALSE)</f>
        <v>Two</v>
      </c>
      <c r="H37" s="32">
        <f>VLOOKUP($A37,'EBA2017'!$A:$AZ,44,FALSE)</f>
        <v>2</v>
      </c>
      <c r="I37" s="28">
        <f t="shared" si="0"/>
        <v>0.5</v>
      </c>
      <c r="J37" s="32">
        <f>VLOOKUP($A37,'EBA2017'!$A:$AZ,45,FALSE)</f>
        <v>4</v>
      </c>
      <c r="K37" s="28">
        <f t="shared" si="1"/>
        <v>0.63636363636363635</v>
      </c>
      <c r="L37" s="42">
        <f>VLOOKUP($A37,'EBA2017'!$A:$AZ,46,FALSE)</f>
        <v>0.39989538120900087</v>
      </c>
      <c r="M37" s="43">
        <f t="shared" si="2"/>
        <v>0.92363181427665708</v>
      </c>
      <c r="N37" s="42">
        <f t="shared" si="3"/>
        <v>0.68666515021343111</v>
      </c>
      <c r="O37" s="32">
        <f>VLOOKUP($A37,'EBA2017'!$A:$AZ,41,FALSE)</f>
        <v>9.1</v>
      </c>
      <c r="P37" s="1">
        <f>VLOOKUP($A37,'EBA2017'!$A:$AZ,42,FALSE)</f>
        <v>6</v>
      </c>
      <c r="Q37" s="1">
        <f>VLOOKUP($A37,'EBA2017'!$A:$AZ,43,FALSE)</f>
        <v>6</v>
      </c>
      <c r="R37" s="32">
        <f>IF(5="No Data","No Data",O37/(13-IF(O37&lt;13,VLOOKUP($A37,'Data Gaps'!$A:$Z,12,FALSE),0)))</f>
        <v>0.7</v>
      </c>
      <c r="S37" s="1">
        <f>IF(P37="No Data","No Data",P37/(8-IF(P37&lt;8,VLOOKUP($A37,'Data Gaps'!$A:$Z,13,FALSE),0)))</f>
        <v>0.75</v>
      </c>
      <c r="T37" s="1">
        <f>IF(Q37="No Data","No Data",Q37/(9-IF(Q37&lt;9,VLOOKUP($A37,'Data Gaps'!$A:$Z,14,FALSE),0)))</f>
        <v>0.66666666666666663</v>
      </c>
      <c r="U37" s="32">
        <f t="shared" si="4"/>
        <v>70.083295422002436</v>
      </c>
    </row>
    <row r="38" spans="1:21" x14ac:dyDescent="0.35">
      <c r="A38" s="1" t="s">
        <v>47</v>
      </c>
      <c r="B38" s="28" t="s">
        <v>48</v>
      </c>
      <c r="C38" s="1" t="s">
        <v>49</v>
      </c>
      <c r="D38" s="1" t="s">
        <v>50</v>
      </c>
      <c r="E38" s="29" t="s">
        <v>9</v>
      </c>
      <c r="F38" s="28" t="s">
        <v>159</v>
      </c>
      <c r="G38" s="28" t="str">
        <f>VLOOKUP($A38,'EBA2017'!$A:$G,7,FALSE)</f>
        <v>Two</v>
      </c>
      <c r="H38" s="32">
        <f>VLOOKUP($A38,'EBA2017'!$A:$AZ,44,FALSE)</f>
        <v>1</v>
      </c>
      <c r="I38" s="28">
        <f t="shared" si="0"/>
        <v>0.75</v>
      </c>
      <c r="J38" s="32">
        <f>VLOOKUP($A38,'EBA2017'!$A:$AZ,45,FALSE)</f>
        <v>2</v>
      </c>
      <c r="K38" s="28">
        <f t="shared" si="1"/>
        <v>0.81818181818181823</v>
      </c>
      <c r="L38" s="42">
        <f>VLOOKUP($A38,'EBA2017'!$A:$AZ,46,FALSE)</f>
        <v>4.3192777743096871</v>
      </c>
      <c r="M38" s="43">
        <f t="shared" si="2"/>
        <v>0.17514574371441943</v>
      </c>
      <c r="N38" s="42">
        <f t="shared" si="3"/>
        <v>0.58110918729874594</v>
      </c>
      <c r="O38" s="32">
        <f>VLOOKUP($A38,'EBA2017'!$A:$AZ,41,FALSE)</f>
        <v>6.5</v>
      </c>
      <c r="P38" s="1">
        <f>VLOOKUP($A38,'EBA2017'!$A:$AZ,42,FALSE)</f>
        <v>1.5</v>
      </c>
      <c r="Q38" s="1">
        <f>VLOOKUP($A38,'EBA2017'!$A:$AZ,43,FALSE)</f>
        <v>5</v>
      </c>
      <c r="R38" s="32">
        <f>IF(5="No Data","No Data",O38/(13-IF(O38&lt;13,VLOOKUP($A38,'Data Gaps'!$A:$Z,12,FALSE),0)))</f>
        <v>0.5</v>
      </c>
      <c r="S38" s="1">
        <f>IF(P38="No Data","No Data",P38/(8-IF(P38&lt;8,VLOOKUP($A38,'Data Gaps'!$A:$Z,13,FALSE),0)))</f>
        <v>0.1875</v>
      </c>
      <c r="T38" s="1">
        <f>IF(Q38="No Data","No Data",Q38/(9-IF(Q38&lt;9,VLOOKUP($A38,'Data Gaps'!$A:$Z,14,FALSE),0)))</f>
        <v>0.625</v>
      </c>
      <c r="U38" s="32">
        <f t="shared" si="4"/>
        <v>47.340229682468646</v>
      </c>
    </row>
    <row r="39" spans="1:21" x14ac:dyDescent="0.35">
      <c r="A39" s="1" t="s">
        <v>51</v>
      </c>
      <c r="B39" s="28" t="s">
        <v>52</v>
      </c>
      <c r="C39" s="1" t="s">
        <v>16</v>
      </c>
      <c r="D39" s="1" t="s">
        <v>17</v>
      </c>
      <c r="E39" s="29" t="s">
        <v>18</v>
      </c>
      <c r="F39" s="28" t="s">
        <v>160</v>
      </c>
      <c r="G39" s="28" t="str">
        <f>VLOOKUP($A39,'EBA2017'!$A:$G,7,FALSE)</f>
        <v>Two</v>
      </c>
      <c r="H39" s="32">
        <f>VLOOKUP($A39,'EBA2017'!$A:$AZ,44,FALSE)</f>
        <v>3</v>
      </c>
      <c r="I39" s="28">
        <f t="shared" si="0"/>
        <v>0.25</v>
      </c>
      <c r="J39" s="32">
        <f>VLOOKUP($A39,'EBA2017'!$A:$AZ,45,FALSE)</f>
        <v>3</v>
      </c>
      <c r="K39" s="28">
        <f t="shared" si="1"/>
        <v>0.72727272727272729</v>
      </c>
      <c r="L39" s="42">
        <f>VLOOKUP($A39,'EBA2017'!$A:$AZ,46,FALSE)</f>
        <v>2.4670456046413367</v>
      </c>
      <c r="M39" s="43">
        <f t="shared" si="2"/>
        <v>0.52886728435420682</v>
      </c>
      <c r="N39" s="42">
        <f t="shared" si="3"/>
        <v>0.50204667054231134</v>
      </c>
      <c r="O39" s="32">
        <f>VLOOKUP($A39,'EBA2017'!$A:$AZ,41,FALSE)</f>
        <v>10.55</v>
      </c>
      <c r="P39" s="1">
        <f>VLOOKUP($A39,'EBA2017'!$A:$AZ,42,FALSE)</f>
        <v>1</v>
      </c>
      <c r="Q39" s="1">
        <f>VLOOKUP($A39,'EBA2017'!$A:$AZ,43,FALSE)</f>
        <v>3.5</v>
      </c>
      <c r="R39" s="32">
        <f>IF(5="No Data","No Data",O39/(13-IF(O39&lt;13,VLOOKUP($A39,'Data Gaps'!$A:$Z,12,FALSE),0)))</f>
        <v>0.81153846153846154</v>
      </c>
      <c r="S39" s="1">
        <f>IF(P39="No Data","No Data",P39/(8-IF(P39&lt;8,VLOOKUP($A39,'Data Gaps'!$A:$Z,13,FALSE),0)))</f>
        <v>0.125</v>
      </c>
      <c r="T39" s="1">
        <f>IF(Q39="No Data","No Data",Q39/(9-IF(Q39&lt;9,VLOOKUP($A39,'Data Gaps'!$A:$Z,14,FALSE),0)))</f>
        <v>0.3888888888888889</v>
      </c>
      <c r="U39" s="32">
        <f t="shared" si="4"/>
        <v>45.686850524241542</v>
      </c>
    </row>
    <row r="40" spans="1:21" x14ac:dyDescent="0.35">
      <c r="A40" s="1" t="s">
        <v>55</v>
      </c>
      <c r="B40" s="28" t="s">
        <v>56</v>
      </c>
      <c r="C40" s="1" t="s">
        <v>16</v>
      </c>
      <c r="D40" s="1" t="s">
        <v>17</v>
      </c>
      <c r="E40" s="29" t="s">
        <v>9</v>
      </c>
      <c r="F40" s="28" t="s">
        <v>160</v>
      </c>
      <c r="G40" s="28" t="str">
        <f>VLOOKUP($A40,'EBA2017'!$A:$G,7,FALSE)</f>
        <v>Two</v>
      </c>
      <c r="H40" s="32">
        <f>VLOOKUP($A40,'EBA2017'!$A:$AZ,44,FALSE)</f>
        <v>3</v>
      </c>
      <c r="I40" s="28">
        <f t="shared" si="0"/>
        <v>0.25</v>
      </c>
      <c r="J40" s="32" t="str">
        <f>VLOOKUP($A40,'EBA2017'!$A:$AZ,45,FALSE)</f>
        <v>No data</v>
      </c>
      <c r="K40" s="28" t="str">
        <f t="shared" si="1"/>
        <v>No data</v>
      </c>
      <c r="L40" s="42">
        <f>VLOOKUP($A40,'EBA2017'!$A:$AZ,46,FALSE)</f>
        <v>1.0107589828130152</v>
      </c>
      <c r="M40" s="43">
        <f t="shared" si="2"/>
        <v>0.80697494057662289</v>
      </c>
      <c r="N40" s="42">
        <f t="shared" si="3"/>
        <v>0.52848747028831145</v>
      </c>
      <c r="O40" s="32">
        <f>VLOOKUP($A40,'EBA2017'!$A:$AZ,41,FALSE)</f>
        <v>5.9</v>
      </c>
      <c r="P40" s="1">
        <f>VLOOKUP($A40,'EBA2017'!$A:$AZ,42,FALSE)</f>
        <v>3</v>
      </c>
      <c r="Q40" s="1">
        <f>VLOOKUP($A40,'EBA2017'!$A:$AZ,43,FALSE)</f>
        <v>2</v>
      </c>
      <c r="R40" s="32">
        <f>IF(5="No Data","No Data",O40/(13-IF(O40&lt;13,VLOOKUP($A40,'Data Gaps'!$A:$Z,12,FALSE),0)))</f>
        <v>0.4538461538461539</v>
      </c>
      <c r="S40" s="1">
        <f>IF(P40="No Data","No Data",P40/(8-IF(P40&lt;8,VLOOKUP($A40,'Data Gaps'!$A:$Z,13,FALSE),0)))</f>
        <v>0.375</v>
      </c>
      <c r="T40" s="1">
        <f>IF(Q40="No Data","No Data",Q40/(9-IF(Q40&lt;9,VLOOKUP($A40,'Data Gaps'!$A:$Z,14,FALSE),0)))</f>
        <v>0.25</v>
      </c>
      <c r="U40" s="32">
        <f t="shared" si="4"/>
        <v>40.183340603361636</v>
      </c>
    </row>
    <row r="41" spans="1:21" x14ac:dyDescent="0.35">
      <c r="A41" s="1" t="s">
        <v>59</v>
      </c>
      <c r="B41" s="28" t="s">
        <v>60</v>
      </c>
      <c r="C41" s="1" t="s">
        <v>21</v>
      </c>
      <c r="D41" s="1" t="s">
        <v>22</v>
      </c>
      <c r="E41" s="28" t="s">
        <v>9</v>
      </c>
      <c r="F41" s="28" t="s">
        <v>159</v>
      </c>
      <c r="G41" s="28" t="str">
        <f>VLOOKUP($A41,'EBA2017'!$A:$G,7,FALSE)</f>
        <v>Two</v>
      </c>
      <c r="H41" s="32">
        <f>VLOOKUP($A41,'EBA2017'!$A:$AZ,44,FALSE)</f>
        <v>1</v>
      </c>
      <c r="I41" s="28">
        <f t="shared" si="0"/>
        <v>0.75</v>
      </c>
      <c r="J41" s="32">
        <f>VLOOKUP($A41,'EBA2017'!$A:$AZ,45,FALSE)</f>
        <v>1</v>
      </c>
      <c r="K41" s="28">
        <f t="shared" si="1"/>
        <v>0.90909090909090906</v>
      </c>
      <c r="L41" s="42">
        <f>VLOOKUP($A41,'EBA2017'!$A:$AZ,46,FALSE)</f>
        <v>0.17409470752089137</v>
      </c>
      <c r="M41" s="43">
        <f t="shared" si="2"/>
        <v>0.96675306197033117</v>
      </c>
      <c r="N41" s="42">
        <f t="shared" si="3"/>
        <v>0.87528132368708012</v>
      </c>
      <c r="O41" s="32">
        <f>VLOOKUP($A41,'EBA2017'!$A:$AZ,41,FALSE)</f>
        <v>7</v>
      </c>
      <c r="P41" s="1">
        <f>VLOOKUP($A41,'EBA2017'!$A:$AZ,42,FALSE)</f>
        <v>6</v>
      </c>
      <c r="Q41" s="1">
        <f>VLOOKUP($A41,'EBA2017'!$A:$AZ,43,FALSE)</f>
        <v>6.5</v>
      </c>
      <c r="R41" s="32">
        <f>IF(5="No Data","No Data",O41/(13-IF(O41&lt;13,VLOOKUP($A41,'Data Gaps'!$A:$Z,12,FALSE),0)))</f>
        <v>0.53846153846153844</v>
      </c>
      <c r="S41" s="1">
        <f>IF(P41="No Data","No Data",P41/(8-IF(P41&lt;8,VLOOKUP($A41,'Data Gaps'!$A:$Z,13,FALSE),0)))</f>
        <v>0.75</v>
      </c>
      <c r="T41" s="1">
        <f>IF(Q41="No Data","No Data",Q41/(9-IF(Q41&lt;9,VLOOKUP($A41,'Data Gaps'!$A:$Z,14,FALSE),0)))</f>
        <v>0.72222222222222221</v>
      </c>
      <c r="U41" s="32">
        <f t="shared" si="4"/>
        <v>72.149127109271021</v>
      </c>
    </row>
    <row r="42" spans="1:21" x14ac:dyDescent="0.35">
      <c r="A42" s="1" t="s">
        <v>61</v>
      </c>
      <c r="B42" s="28" t="s">
        <v>62</v>
      </c>
      <c r="C42" s="1" t="s">
        <v>21</v>
      </c>
      <c r="D42" s="1" t="s">
        <v>22</v>
      </c>
      <c r="E42" s="28" t="s">
        <v>18</v>
      </c>
      <c r="F42" s="28" t="s">
        <v>159</v>
      </c>
      <c r="G42" s="28" t="str">
        <f>VLOOKUP($A42,'EBA2017'!$A:$G,7,FALSE)</f>
        <v>Two</v>
      </c>
      <c r="H42" s="32">
        <f>VLOOKUP($A42,'EBA2017'!$A:$AZ,44,FALSE)</f>
        <v>1</v>
      </c>
      <c r="I42" s="28">
        <f t="shared" si="0"/>
        <v>0.75</v>
      </c>
      <c r="J42" s="32" t="str">
        <f>VLOOKUP($A42,'EBA2017'!$A:$AZ,45,FALSE)</f>
        <v>No data</v>
      </c>
      <c r="K42" s="28" t="str">
        <f t="shared" si="1"/>
        <v>No data</v>
      </c>
      <c r="L42" s="42">
        <f>VLOOKUP($A42,'EBA2017'!$A:$AZ,46,FALSE)</f>
        <v>1.6092143474503562</v>
      </c>
      <c r="M42" s="43">
        <f t="shared" si="2"/>
        <v>0.69268767300283418</v>
      </c>
      <c r="N42" s="42">
        <f t="shared" si="3"/>
        <v>0.72134383650141709</v>
      </c>
      <c r="O42" s="32">
        <f>VLOOKUP($A42,'EBA2017'!$A:$AZ,41,FALSE)</f>
        <v>4.5</v>
      </c>
      <c r="P42" s="1">
        <f>VLOOKUP($A42,'EBA2017'!$A:$AZ,42,FALSE)</f>
        <v>0</v>
      </c>
      <c r="Q42" s="1" t="str">
        <f>VLOOKUP($A42,'EBA2017'!$A:$AZ,43,FALSE)</f>
        <v>No data</v>
      </c>
      <c r="R42" s="32">
        <f>IF(5="No Data","No Data",O42/(13-IF(O42&lt;13,VLOOKUP($A42,'Data Gaps'!$A:$Z,12,FALSE),0)))</f>
        <v>0.34615384615384615</v>
      </c>
      <c r="S42" s="1">
        <f>IF(P42="No Data","No Data",P42/(8-IF(P42&lt;8,VLOOKUP($A42,'Data Gaps'!$A:$Z,13,FALSE),0)))</f>
        <v>0</v>
      </c>
      <c r="T42" s="1" t="str">
        <f>IF(Q42="No Data","No Data",Q42/(9-IF(Q42&lt;9,VLOOKUP($A42,'Data Gaps'!$A:$Z,14,FALSE),0)))</f>
        <v>No Data</v>
      </c>
      <c r="U42" s="32">
        <f t="shared" si="4"/>
        <v>35.583256088508783</v>
      </c>
    </row>
    <row r="43" spans="1:21" x14ac:dyDescent="0.35">
      <c r="A43" s="1" t="s">
        <v>63</v>
      </c>
      <c r="B43" s="28" t="s">
        <v>146</v>
      </c>
      <c r="C43" s="1" t="s">
        <v>12</v>
      </c>
      <c r="D43" s="1" t="s">
        <v>13</v>
      </c>
      <c r="E43" s="28" t="s">
        <v>9</v>
      </c>
      <c r="F43" s="28" t="s">
        <v>162</v>
      </c>
      <c r="G43" s="28" t="str">
        <f>VLOOKUP($A43,'EBA2017'!$A:$G,7,FALSE)</f>
        <v>Two</v>
      </c>
      <c r="H43" s="32">
        <f>VLOOKUP($A43,'EBA2017'!$A:$AZ,44,FALSE)</f>
        <v>3</v>
      </c>
      <c r="I43" s="28">
        <f t="shared" si="0"/>
        <v>0.25</v>
      </c>
      <c r="J43" s="32">
        <f>VLOOKUP($A43,'EBA2017'!$A:$AZ,45,FALSE)</f>
        <v>8</v>
      </c>
      <c r="K43" s="28">
        <f t="shared" si="1"/>
        <v>0.27272727272727271</v>
      </c>
      <c r="L43" s="42">
        <f>VLOOKUP($A43,'EBA2017'!$A:$AZ,46,FALSE)</f>
        <v>2.0343876355659791</v>
      </c>
      <c r="M43" s="43">
        <f t="shared" si="2"/>
        <v>0.61149215498196374</v>
      </c>
      <c r="N43" s="42">
        <f t="shared" si="3"/>
        <v>0.37807314256974545</v>
      </c>
      <c r="O43" s="32">
        <f>VLOOKUP($A43,'EBA2017'!$A:$AZ,41,FALSE)</f>
        <v>6.15</v>
      </c>
      <c r="P43" s="1">
        <f>VLOOKUP($A43,'EBA2017'!$A:$AZ,42,FALSE)</f>
        <v>6</v>
      </c>
      <c r="Q43" s="1">
        <f>VLOOKUP($A43,'EBA2017'!$A:$AZ,43,FALSE)</f>
        <v>4.5</v>
      </c>
      <c r="R43" s="32">
        <f>IF(5="No Data","No Data",O43/(13-IF(O43&lt;13,VLOOKUP($A43,'Data Gaps'!$A:$Z,12,FALSE),0)))</f>
        <v>0.47307692307692312</v>
      </c>
      <c r="S43" s="1">
        <f>IF(P43="No Data","No Data",P43/(8-IF(P43&lt;8,VLOOKUP($A43,'Data Gaps'!$A:$Z,13,FALSE),0)))</f>
        <v>0.75</v>
      </c>
      <c r="T43" s="1">
        <f>IF(Q43="No Data","No Data",Q43/(9-IF(Q43&lt;9,VLOOKUP($A43,'Data Gaps'!$A:$Z,14,FALSE),0)))</f>
        <v>0.5</v>
      </c>
      <c r="U43" s="32">
        <f t="shared" si="4"/>
        <v>52.528751641166714</v>
      </c>
    </row>
    <row r="44" spans="1:21" x14ac:dyDescent="0.35">
      <c r="A44" s="1" t="s">
        <v>66</v>
      </c>
      <c r="B44" s="28" t="s">
        <v>67</v>
      </c>
      <c r="C44" s="1" t="s">
        <v>49</v>
      </c>
      <c r="D44" s="1" t="s">
        <v>50</v>
      </c>
      <c r="E44" s="28" t="s">
        <v>25</v>
      </c>
      <c r="F44" s="28" t="s">
        <v>161</v>
      </c>
      <c r="G44" s="28" t="str">
        <f>VLOOKUP($A44,'EBA2017'!$A:$G,7,FALSE)</f>
        <v>Two</v>
      </c>
      <c r="H44" s="32">
        <f>VLOOKUP($A44,'EBA2017'!$A:$AZ,44,FALSE)</f>
        <v>1</v>
      </c>
      <c r="I44" s="28">
        <f t="shared" si="0"/>
        <v>0.75</v>
      </c>
      <c r="J44" s="32">
        <f>VLOOKUP($A44,'EBA2017'!$A:$AZ,45,FALSE)</f>
        <v>1</v>
      </c>
      <c r="K44" s="28">
        <f t="shared" si="1"/>
        <v>0.90909090909090906</v>
      </c>
      <c r="L44" s="42">
        <f>VLOOKUP($A44,'EBA2017'!$A:$AZ,46,FALSE)</f>
        <v>0.12997684628439585</v>
      </c>
      <c r="M44" s="43">
        <f t="shared" si="2"/>
        <v>0.97517826810909491</v>
      </c>
      <c r="N44" s="42">
        <f t="shared" si="3"/>
        <v>0.87808972573333477</v>
      </c>
      <c r="O44" s="32">
        <f>VLOOKUP($A44,'EBA2017'!$A:$AZ,41,FALSE)</f>
        <v>5.85</v>
      </c>
      <c r="P44" s="1">
        <f>VLOOKUP($A44,'EBA2017'!$A:$AZ,42,FALSE)</f>
        <v>4.5</v>
      </c>
      <c r="Q44" s="1">
        <f>VLOOKUP($A44,'EBA2017'!$A:$AZ,43,FALSE)</f>
        <v>6</v>
      </c>
      <c r="R44" s="32">
        <f>IF(5="No Data","No Data",O44/(13-IF(O44&lt;13,VLOOKUP($A44,'Data Gaps'!$A:$Z,12,FALSE),0)))</f>
        <v>0.44999999999999996</v>
      </c>
      <c r="S44" s="1">
        <f>IF(P44="No Data","No Data",P44/(8-IF(P44&lt;8,VLOOKUP($A44,'Data Gaps'!$A:$Z,13,FALSE),0)))</f>
        <v>0.5625</v>
      </c>
      <c r="T44" s="1">
        <f>IF(Q44="No Data","No Data",Q44/(9-IF(Q44&lt;9,VLOOKUP($A44,'Data Gaps'!$A:$Z,14,FALSE),0)))</f>
        <v>0.66666666666666663</v>
      </c>
      <c r="U44" s="32">
        <f t="shared" si="4"/>
        <v>63.931409810000027</v>
      </c>
    </row>
    <row r="45" spans="1:21" x14ac:dyDescent="0.35">
      <c r="A45" s="1" t="s">
        <v>70</v>
      </c>
      <c r="B45" s="28" t="s">
        <v>71</v>
      </c>
      <c r="C45" s="1" t="s">
        <v>16</v>
      </c>
      <c r="D45" s="1" t="s">
        <v>17</v>
      </c>
      <c r="E45" s="28" t="s">
        <v>9</v>
      </c>
      <c r="F45" s="28" t="s">
        <v>160</v>
      </c>
      <c r="G45" s="28" t="str">
        <f>VLOOKUP($A45,'EBA2017'!$A:$G,7,FALSE)</f>
        <v>Two</v>
      </c>
      <c r="H45" s="32">
        <f>VLOOKUP($A45,'EBA2017'!$A:$AZ,44,FALSE)</f>
        <v>4</v>
      </c>
      <c r="I45" s="28">
        <f t="shared" si="0"/>
        <v>0</v>
      </c>
      <c r="J45" s="32">
        <f>VLOOKUP($A45,'EBA2017'!$A:$AZ,45,FALSE)</f>
        <v>4</v>
      </c>
      <c r="K45" s="28">
        <f t="shared" si="1"/>
        <v>0.63636363636363635</v>
      </c>
      <c r="L45" s="42">
        <f>VLOOKUP($A45,'EBA2017'!$A:$AZ,46,FALSE)</f>
        <v>5.5985395488351362</v>
      </c>
      <c r="M45" s="43">
        <f t="shared" si="2"/>
        <v>0</v>
      </c>
      <c r="N45" s="42">
        <f t="shared" si="3"/>
        <v>0.21212121212121213</v>
      </c>
      <c r="O45" s="32">
        <f>VLOOKUP($A45,'EBA2017'!$A:$AZ,41,FALSE)</f>
        <v>6.9</v>
      </c>
      <c r="P45" s="1">
        <f>VLOOKUP($A45,'EBA2017'!$A:$AZ,42,FALSE)</f>
        <v>1.5</v>
      </c>
      <c r="Q45" s="1">
        <f>VLOOKUP($A45,'EBA2017'!$A:$AZ,43,FALSE)</f>
        <v>3.5</v>
      </c>
      <c r="R45" s="32">
        <f>IF(5="No Data","No Data",O45/(13-IF(O45&lt;13,VLOOKUP($A45,'Data Gaps'!$A:$Z,12,FALSE),0)))</f>
        <v>0.53076923076923077</v>
      </c>
      <c r="S45" s="1">
        <f>IF(P45="No Data","No Data",P45/(8-IF(P45&lt;8,VLOOKUP($A45,'Data Gaps'!$A:$Z,13,FALSE),0)))</f>
        <v>0.1875</v>
      </c>
      <c r="T45" s="1">
        <f>IF(Q45="No Data","No Data",Q45/(9-IF(Q45&lt;9,VLOOKUP($A45,'Data Gaps'!$A:$Z,14,FALSE),0)))</f>
        <v>0.3888888888888889</v>
      </c>
      <c r="U45" s="32">
        <f t="shared" si="4"/>
        <v>32.9819832944833</v>
      </c>
    </row>
    <row r="46" spans="1:21" x14ac:dyDescent="0.35">
      <c r="A46" s="1" t="s">
        <v>30</v>
      </c>
      <c r="B46" s="28" t="s">
        <v>31</v>
      </c>
      <c r="C46" s="1" t="s">
        <v>32</v>
      </c>
      <c r="D46" s="1" t="s">
        <v>33</v>
      </c>
      <c r="E46" s="29" t="s">
        <v>9</v>
      </c>
      <c r="F46" s="28" t="s">
        <v>162</v>
      </c>
      <c r="G46" s="28" t="str">
        <f>VLOOKUP($A46,'EBA2017'!$A:$G,7,FALSE)</f>
        <v>Two</v>
      </c>
      <c r="H46" s="32">
        <f>VLOOKUP($A46,'EBA2017'!$A:$AZ,44,FALSE)</f>
        <v>2</v>
      </c>
      <c r="I46" s="28">
        <f t="shared" si="0"/>
        <v>0.5</v>
      </c>
      <c r="J46" s="32">
        <f>VLOOKUP($A46,'EBA2017'!$A:$AZ,45,FALSE)</f>
        <v>6</v>
      </c>
      <c r="K46" s="28">
        <f t="shared" si="1"/>
        <v>0.45454545454545453</v>
      </c>
      <c r="L46" s="42">
        <f>VLOOKUP($A46,'EBA2017'!$A:$AZ,46,FALSE)</f>
        <v>5.2364132710667244</v>
      </c>
      <c r="M46" s="43">
        <f t="shared" si="2"/>
        <v>0</v>
      </c>
      <c r="N46" s="42">
        <f t="shared" si="3"/>
        <v>0.31818181818181818</v>
      </c>
      <c r="O46" s="32">
        <f>VLOOKUP($A46,'EBA2017'!$A:$AZ,41,FALSE)</f>
        <v>8.75</v>
      </c>
      <c r="P46" s="1">
        <f>VLOOKUP($A46,'EBA2017'!$A:$AZ,42,FALSE)</f>
        <v>3</v>
      </c>
      <c r="Q46" s="1">
        <f>VLOOKUP($A46,'EBA2017'!$A:$AZ,43,FALSE)</f>
        <v>5.5</v>
      </c>
      <c r="R46" s="32">
        <f>IF(5="No Data","No Data",O46/(13-IF(O46&lt;13,VLOOKUP($A46,'Data Gaps'!$A:$Z,12,FALSE),0)))</f>
        <v>0.67307692307692313</v>
      </c>
      <c r="S46" s="1">
        <f>IF(P46="No Data","No Data",P46/(8-IF(P46&lt;8,VLOOKUP($A46,'Data Gaps'!$A:$Z,13,FALSE),0)))</f>
        <v>0.375</v>
      </c>
      <c r="T46" s="1">
        <f>IF(Q46="No Data","No Data",Q46/(9-IF(Q46&lt;9,VLOOKUP($A46,'Data Gaps'!$A:$Z,14,FALSE),0)))</f>
        <v>0.61111111111111116</v>
      </c>
      <c r="U46" s="32">
        <f t="shared" si="4"/>
        <v>49.434246309246312</v>
      </c>
    </row>
    <row r="47" spans="1:21" x14ac:dyDescent="0.35">
      <c r="A47" s="1" t="s">
        <v>76</v>
      </c>
      <c r="B47" s="28" t="s">
        <v>77</v>
      </c>
      <c r="C47" s="1" t="s">
        <v>32</v>
      </c>
      <c r="D47" s="1" t="s">
        <v>33</v>
      </c>
      <c r="E47" s="28" t="s">
        <v>9</v>
      </c>
      <c r="F47" s="28" t="s">
        <v>160</v>
      </c>
      <c r="G47" s="28" t="str">
        <f>VLOOKUP($A47,'EBA2017'!$A:$G,7,FALSE)</f>
        <v>Two</v>
      </c>
      <c r="H47" s="32">
        <f>VLOOKUP($A47,'EBA2017'!$A:$AZ,44,FALSE)</f>
        <v>2</v>
      </c>
      <c r="I47" s="28">
        <f t="shared" si="0"/>
        <v>0.5</v>
      </c>
      <c r="J47" s="32">
        <f>VLOOKUP($A47,'EBA2017'!$A:$AZ,45,FALSE)</f>
        <v>3</v>
      </c>
      <c r="K47" s="28">
        <f t="shared" si="1"/>
        <v>0.72727272727272729</v>
      </c>
      <c r="L47" s="42">
        <f>VLOOKUP($A47,'EBA2017'!$A:$AZ,46,FALSE)</f>
        <v>4.7665737052130615</v>
      </c>
      <c r="M47" s="43">
        <f t="shared" si="2"/>
        <v>8.9725455484904959E-2</v>
      </c>
      <c r="N47" s="42">
        <f t="shared" si="3"/>
        <v>0.43899939425254408</v>
      </c>
      <c r="O47" s="32">
        <f>VLOOKUP($A47,'EBA2017'!$A:$AZ,41,FALSE)</f>
        <v>7</v>
      </c>
      <c r="P47" s="1">
        <f>VLOOKUP($A47,'EBA2017'!$A:$AZ,42,FALSE)</f>
        <v>4.5</v>
      </c>
      <c r="Q47" s="1">
        <f>VLOOKUP($A47,'EBA2017'!$A:$AZ,43,FALSE)</f>
        <v>6</v>
      </c>
      <c r="R47" s="32">
        <f>IF(5="No Data","No Data",O47/(13-IF(O47&lt;13,VLOOKUP($A47,'Data Gaps'!$A:$Z,12,FALSE),0)))</f>
        <v>0.53846153846153844</v>
      </c>
      <c r="S47" s="1">
        <f>IF(P47="No Data","No Data",P47/(8-IF(P47&lt;8,VLOOKUP($A47,'Data Gaps'!$A:$Z,13,FALSE),0)))</f>
        <v>0.5625</v>
      </c>
      <c r="T47" s="1">
        <f>IF(Q47="No Data","No Data",Q47/(9-IF(Q47&lt;9,VLOOKUP($A47,'Data Gaps'!$A:$Z,14,FALSE),0)))</f>
        <v>0.66666666666666663</v>
      </c>
      <c r="U47" s="32">
        <f t="shared" si="4"/>
        <v>55.165689984518728</v>
      </c>
    </row>
    <row r="48" spans="1:21" x14ac:dyDescent="0.35">
      <c r="A48" s="1" t="s">
        <v>122</v>
      </c>
      <c r="B48" s="28" t="s">
        <v>123</v>
      </c>
      <c r="C48" s="1" t="s">
        <v>12</v>
      </c>
      <c r="D48" s="1" t="s">
        <v>13</v>
      </c>
      <c r="E48" s="29" t="s">
        <v>9</v>
      </c>
      <c r="F48" s="28" t="s">
        <v>160</v>
      </c>
      <c r="G48" s="28" t="str">
        <f>VLOOKUP($A48,'EBA2017'!$A:$G,7,FALSE)</f>
        <v>Two</v>
      </c>
      <c r="H48" s="32">
        <f>VLOOKUP($A48,'EBA2017'!$A:$AZ,44,FALSE)</f>
        <v>3</v>
      </c>
      <c r="I48" s="28">
        <f t="shared" si="0"/>
        <v>0.25</v>
      </c>
      <c r="J48" s="32">
        <f>VLOOKUP($A48,'EBA2017'!$A:$AZ,45,FALSE)</f>
        <v>4</v>
      </c>
      <c r="K48" s="28">
        <f t="shared" si="1"/>
        <v>0.63636363636363635</v>
      </c>
      <c r="L48" s="42">
        <f>VLOOKUP($A48,'EBA2017'!$A:$AZ,46,FALSE)</f>
        <v>7.1205523749965458</v>
      </c>
      <c r="M48" s="43">
        <f t="shared" si="2"/>
        <v>0</v>
      </c>
      <c r="N48" s="42">
        <f t="shared" si="3"/>
        <v>0.29545454545454547</v>
      </c>
      <c r="O48" s="32">
        <f>VLOOKUP($A48,'EBA2017'!$A:$AZ,41,FALSE)</f>
        <v>6.9</v>
      </c>
      <c r="P48" s="1">
        <f>VLOOKUP($A48,'EBA2017'!$A:$AZ,42,FALSE)</f>
        <v>2</v>
      </c>
      <c r="Q48" s="1">
        <f>VLOOKUP($A48,'EBA2017'!$A:$AZ,43,FALSE)</f>
        <v>2.5</v>
      </c>
      <c r="R48" s="32">
        <f>IF(5="No Data","No Data",O48/(13-IF(O48&lt;13,VLOOKUP($A48,'Data Gaps'!$A:$Z,12,FALSE),0)))</f>
        <v>0.53076923076923077</v>
      </c>
      <c r="S48" s="1">
        <f>IF(P48="No Data","No Data",P48/(8-IF(P48&lt;8,VLOOKUP($A48,'Data Gaps'!$A:$Z,13,FALSE),0)))</f>
        <v>0.25</v>
      </c>
      <c r="T48" s="1">
        <f>IF(Q48="No Data","No Data",Q48/(9-IF(Q48&lt;9,VLOOKUP($A48,'Data Gaps'!$A:$Z,14,FALSE),0)))</f>
        <v>0.27777777777777779</v>
      </c>
      <c r="U48" s="32">
        <f t="shared" si="4"/>
        <v>33.850038850038857</v>
      </c>
    </row>
    <row r="49" spans="1:21" x14ac:dyDescent="0.35">
      <c r="A49" s="1" t="s">
        <v>88</v>
      </c>
      <c r="B49" s="28" t="s">
        <v>89</v>
      </c>
      <c r="C49" s="1" t="s">
        <v>49</v>
      </c>
      <c r="D49" s="1" t="s">
        <v>50</v>
      </c>
      <c r="E49" s="28" t="s">
        <v>9</v>
      </c>
      <c r="F49" s="28" t="s">
        <v>161</v>
      </c>
      <c r="G49" s="28" t="str">
        <f>VLOOKUP($A49,'EBA2017'!$A:$G,7,FALSE)</f>
        <v>Two</v>
      </c>
      <c r="H49" s="32">
        <f>VLOOKUP($A49,'EBA2017'!$A:$AZ,44,FALSE)</f>
        <v>2</v>
      </c>
      <c r="I49" s="28">
        <f t="shared" si="0"/>
        <v>0.5</v>
      </c>
      <c r="J49" s="32">
        <f>VLOOKUP($A49,'EBA2017'!$A:$AZ,45,FALSE)</f>
        <v>4</v>
      </c>
      <c r="K49" s="28">
        <f t="shared" si="1"/>
        <v>0.63636363636363635</v>
      </c>
      <c r="L49" s="42">
        <f>VLOOKUP($A49,'EBA2017'!$A:$AZ,46,FALSE)</f>
        <v>0.54397281542709486</v>
      </c>
      <c r="M49" s="43">
        <f t="shared" si="2"/>
        <v>0.89611728729801332</v>
      </c>
      <c r="N49" s="42">
        <f t="shared" si="3"/>
        <v>0.67749364122054978</v>
      </c>
      <c r="O49" s="32">
        <f>VLOOKUP($A49,'EBA2017'!$A:$AZ,41,FALSE)</f>
        <v>6.8</v>
      </c>
      <c r="P49" s="1">
        <f>VLOOKUP($A49,'EBA2017'!$A:$AZ,42,FALSE)</f>
        <v>6.5</v>
      </c>
      <c r="Q49" s="1">
        <f>VLOOKUP($A49,'EBA2017'!$A:$AZ,43,FALSE)</f>
        <v>5</v>
      </c>
      <c r="R49" s="32">
        <f>IF(5="No Data","No Data",O49/(13-IF(O49&lt;13,VLOOKUP($A49,'Data Gaps'!$A:$Z,12,FALSE),0)))</f>
        <v>0.52307692307692311</v>
      </c>
      <c r="S49" s="1">
        <f>IF(P49="No Data","No Data",P49/(8-IF(P49&lt;8,VLOOKUP($A49,'Data Gaps'!$A:$Z,13,FALSE),0)))</f>
        <v>0.8125</v>
      </c>
      <c r="T49" s="1">
        <f>IF(Q49="No Data","No Data",Q49/(9-IF(Q49&lt;9,VLOOKUP($A49,'Data Gaps'!$A:$Z,14,FALSE),0)))</f>
        <v>0.55555555555555558</v>
      </c>
      <c r="U49" s="32">
        <f t="shared" si="4"/>
        <v>64.215652996325701</v>
      </c>
    </row>
    <row r="50" spans="1:21" x14ac:dyDescent="0.35">
      <c r="A50" s="1" t="s">
        <v>86</v>
      </c>
      <c r="B50" s="28" t="s">
        <v>87</v>
      </c>
      <c r="C50" s="1" t="s">
        <v>21</v>
      </c>
      <c r="D50" s="1" t="s">
        <v>22</v>
      </c>
      <c r="E50" s="28" t="s">
        <v>25</v>
      </c>
      <c r="F50" s="28" t="s">
        <v>161</v>
      </c>
      <c r="G50" s="28" t="str">
        <f>VLOOKUP($A50,'EBA2017'!$A:$G,7,FALSE)</f>
        <v>Two</v>
      </c>
      <c r="H50" s="32">
        <f>VLOOKUP($A50,'EBA2017'!$A:$AZ,44,FALSE)</f>
        <v>1</v>
      </c>
      <c r="I50" s="28">
        <f t="shared" si="0"/>
        <v>0.75</v>
      </c>
      <c r="J50" s="32">
        <f>VLOOKUP($A50,'EBA2017'!$A:$AZ,45,FALSE)</f>
        <v>1</v>
      </c>
      <c r="K50" s="28">
        <f t="shared" si="1"/>
        <v>0.90909090909090906</v>
      </c>
      <c r="L50" s="42">
        <f>VLOOKUP($A50,'EBA2017'!$A:$AZ,46,FALSE)</f>
        <v>0.33456442030230626</v>
      </c>
      <c r="M50" s="43">
        <f t="shared" si="2"/>
        <v>0.93610809480013579</v>
      </c>
      <c r="N50" s="42">
        <f t="shared" si="3"/>
        <v>0.86506633463034832</v>
      </c>
      <c r="O50" s="32">
        <f>VLOOKUP($A50,'EBA2017'!$A:$AZ,41,FALSE)</f>
        <v>9.75</v>
      </c>
      <c r="P50" s="1">
        <f>VLOOKUP($A50,'EBA2017'!$A:$AZ,42,FALSE)</f>
        <v>7</v>
      </c>
      <c r="Q50" s="1">
        <f>VLOOKUP($A50,'EBA2017'!$A:$AZ,43,FALSE)</f>
        <v>7.5</v>
      </c>
      <c r="R50" s="32">
        <f>IF(5="No Data","No Data",O50/(13-IF(O50&lt;13,VLOOKUP($A50,'Data Gaps'!$A:$Z,12,FALSE),0)))</f>
        <v>0.75</v>
      </c>
      <c r="S50" s="1">
        <f>IF(P50="No Data","No Data",P50/(8-IF(P50&lt;8,VLOOKUP($A50,'Data Gaps'!$A:$Z,13,FALSE),0)))</f>
        <v>0.875</v>
      </c>
      <c r="T50" s="1">
        <f>IF(Q50="No Data","No Data",Q50/(9-IF(Q50&lt;9,VLOOKUP($A50,'Data Gaps'!$A:$Z,14,FALSE),0)))</f>
        <v>0.83333333333333337</v>
      </c>
      <c r="U50" s="32">
        <f t="shared" si="4"/>
        <v>83.084991699092043</v>
      </c>
    </row>
    <row r="51" spans="1:21" x14ac:dyDescent="0.35">
      <c r="A51" s="1" t="s">
        <v>92</v>
      </c>
      <c r="B51" s="28" t="s">
        <v>93</v>
      </c>
      <c r="C51" s="1" t="s">
        <v>32</v>
      </c>
      <c r="D51" s="1" t="s">
        <v>33</v>
      </c>
      <c r="E51" s="28" t="s">
        <v>9</v>
      </c>
      <c r="F51" s="28" t="s">
        <v>161</v>
      </c>
      <c r="G51" s="28" t="str">
        <f>VLOOKUP($A51,'EBA2017'!$A:$G,7,FALSE)</f>
        <v>Two</v>
      </c>
      <c r="H51" s="32">
        <f>VLOOKUP($A51,'EBA2017'!$A:$AZ,44,FALSE)</f>
        <v>2</v>
      </c>
      <c r="I51" s="28">
        <f t="shared" si="0"/>
        <v>0.5</v>
      </c>
      <c r="J51" s="32">
        <f>VLOOKUP($A51,'EBA2017'!$A:$AZ,45,FALSE)</f>
        <v>4</v>
      </c>
      <c r="K51" s="28">
        <f t="shared" si="1"/>
        <v>0.63636363636363635</v>
      </c>
      <c r="L51" s="42">
        <f>VLOOKUP($A51,'EBA2017'!$A:$AZ,46,FALSE)</f>
        <v>1.1722100674374807</v>
      </c>
      <c r="M51" s="43">
        <f t="shared" si="2"/>
        <v>0.77614256042119345</v>
      </c>
      <c r="N51" s="42">
        <f t="shared" si="3"/>
        <v>0.63750206559494327</v>
      </c>
      <c r="O51" s="32">
        <f>VLOOKUP($A51,'EBA2017'!$A:$AZ,41,FALSE)</f>
        <v>6.5</v>
      </c>
      <c r="P51" s="1">
        <f>VLOOKUP($A51,'EBA2017'!$A:$AZ,42,FALSE)</f>
        <v>0</v>
      </c>
      <c r="Q51" s="1">
        <f>VLOOKUP($A51,'EBA2017'!$A:$AZ,43,FALSE)</f>
        <v>5</v>
      </c>
      <c r="R51" s="32">
        <f>IF(5="No Data","No Data",O51/(13-IF(O51&lt;13,VLOOKUP($A51,'Data Gaps'!$A:$Z,12,FALSE),0)))</f>
        <v>0.5</v>
      </c>
      <c r="S51" s="1">
        <f>IF(P51="No Data","No Data",P51/(8-IF(P51&lt;8,VLOOKUP($A51,'Data Gaps'!$A:$Z,13,FALSE),0)))</f>
        <v>0</v>
      </c>
      <c r="T51" s="1">
        <f>IF(Q51="No Data","No Data",Q51/(9-IF(Q51&lt;9,VLOOKUP($A51,'Data Gaps'!$A:$Z,14,FALSE),0)))</f>
        <v>0.55555555555555558</v>
      </c>
      <c r="U51" s="32">
        <f t="shared" si="4"/>
        <v>42.326440528762468</v>
      </c>
    </row>
    <row r="52" spans="1:21" x14ac:dyDescent="0.35">
      <c r="A52" s="1" t="s">
        <v>90</v>
      </c>
      <c r="B52" s="28" t="s">
        <v>91</v>
      </c>
      <c r="C52" s="1" t="s">
        <v>16</v>
      </c>
      <c r="D52" s="1" t="s">
        <v>17</v>
      </c>
      <c r="E52" s="28" t="s">
        <v>18</v>
      </c>
      <c r="F52" s="28" t="s">
        <v>159</v>
      </c>
      <c r="G52" s="28" t="str">
        <f>VLOOKUP($A52,'EBA2017'!$A:$G,7,FALSE)</f>
        <v>Two</v>
      </c>
      <c r="H52" s="32">
        <f>VLOOKUP($A52,'EBA2017'!$A:$AZ,44,FALSE)</f>
        <v>1</v>
      </c>
      <c r="I52" s="28">
        <f t="shared" si="0"/>
        <v>0.75</v>
      </c>
      <c r="J52" s="32">
        <f>VLOOKUP($A52,'EBA2017'!$A:$AZ,45,FALSE)</f>
        <v>7</v>
      </c>
      <c r="K52" s="28">
        <f t="shared" si="1"/>
        <v>0.36363636363636365</v>
      </c>
      <c r="L52" s="42">
        <f>VLOOKUP($A52,'EBA2017'!$A:$AZ,46,FALSE)</f>
        <v>1.9986517102640489</v>
      </c>
      <c r="M52" s="43">
        <f t="shared" si="2"/>
        <v>0.61831665936159041</v>
      </c>
      <c r="N52" s="42">
        <f t="shared" si="3"/>
        <v>0.57731767433265135</v>
      </c>
      <c r="O52" s="32">
        <f>VLOOKUP($A52,'EBA2017'!$A:$AZ,41,FALSE)</f>
        <v>8.1</v>
      </c>
      <c r="P52" s="1">
        <f>VLOOKUP($A52,'EBA2017'!$A:$AZ,42,FALSE)</f>
        <v>5</v>
      </c>
      <c r="Q52" s="1">
        <f>VLOOKUP($A52,'EBA2017'!$A:$AZ,43,FALSE)</f>
        <v>5</v>
      </c>
      <c r="R52" s="32">
        <f>IF(5="No Data","No Data",O52/(13-IF(O52&lt;13,VLOOKUP($A52,'Data Gaps'!$A:$Z,12,FALSE),0)))</f>
        <v>0.62307692307692308</v>
      </c>
      <c r="S52" s="1">
        <f>IF(P52="No Data","No Data",P52/(8-IF(P52&lt;8,VLOOKUP($A52,'Data Gaps'!$A:$Z,13,FALSE),0)))</f>
        <v>0.625</v>
      </c>
      <c r="T52" s="1">
        <f>IF(Q52="No Data","No Data",Q52/(9-IF(Q52&lt;9,VLOOKUP($A52,'Data Gaps'!$A:$Z,14,FALSE),0)))</f>
        <v>0.55555555555555558</v>
      </c>
      <c r="U52" s="32">
        <f t="shared" si="4"/>
        <v>59.523753824128242</v>
      </c>
    </row>
    <row r="53" spans="1:21" x14ac:dyDescent="0.35">
      <c r="A53" s="1" t="s">
        <v>80</v>
      </c>
      <c r="B53" s="28" t="s">
        <v>81</v>
      </c>
      <c r="C53" s="1" t="s">
        <v>16</v>
      </c>
      <c r="D53" s="1" t="s">
        <v>17</v>
      </c>
      <c r="E53" s="28" t="s">
        <v>18</v>
      </c>
      <c r="F53" s="28" t="s">
        <v>160</v>
      </c>
      <c r="G53" s="28" t="str">
        <f>VLOOKUP($A53,'EBA2017'!$A:$G,7,FALSE)</f>
        <v>Two</v>
      </c>
      <c r="H53" s="32">
        <f>VLOOKUP($A53,'EBA2017'!$A:$AZ,44,FALSE)</f>
        <v>1</v>
      </c>
      <c r="I53" s="28">
        <f t="shared" si="0"/>
        <v>0.75</v>
      </c>
      <c r="J53" s="32">
        <f>VLOOKUP($A53,'EBA2017'!$A:$AZ,45,FALSE)</f>
        <v>1</v>
      </c>
      <c r="K53" s="28">
        <f t="shared" si="1"/>
        <v>0.90909090909090906</v>
      </c>
      <c r="L53" s="42">
        <f>VLOOKUP($A53,'EBA2017'!$A:$AZ,46,FALSE)</f>
        <v>2.7542309861761289</v>
      </c>
      <c r="M53" s="43">
        <f t="shared" si="2"/>
        <v>0.47402337370994846</v>
      </c>
      <c r="N53" s="42">
        <f t="shared" si="3"/>
        <v>0.71103809426695264</v>
      </c>
      <c r="O53" s="32">
        <f>VLOOKUP($A53,'EBA2017'!$A:$AZ,41,FALSE)</f>
        <v>8.9500000000000011</v>
      </c>
      <c r="P53" s="1">
        <f>VLOOKUP($A53,'EBA2017'!$A:$AZ,42,FALSE)</f>
        <v>3</v>
      </c>
      <c r="Q53" s="1">
        <f>VLOOKUP($A53,'EBA2017'!$A:$AZ,43,FALSE)</f>
        <v>4.5</v>
      </c>
      <c r="R53" s="32">
        <f>IF(5="No Data","No Data",O53/(13-IF(O53&lt;13,VLOOKUP($A53,'Data Gaps'!$A:$Z,12,FALSE),0)))</f>
        <v>0.68846153846153857</v>
      </c>
      <c r="S53" s="1">
        <f>IF(P53="No Data","No Data",P53/(8-IF(P53&lt;8,VLOOKUP($A53,'Data Gaps'!$A:$Z,13,FALSE),0)))</f>
        <v>0.375</v>
      </c>
      <c r="T53" s="1">
        <f>IF(Q53="No Data","No Data",Q53/(9-IF(Q53&lt;9,VLOOKUP($A53,'Data Gaps'!$A:$Z,14,FALSE),0)))</f>
        <v>0.5</v>
      </c>
      <c r="U53" s="32">
        <f t="shared" si="4"/>
        <v>56.862490818212287</v>
      </c>
    </row>
    <row r="54" spans="1:21" x14ac:dyDescent="0.35">
      <c r="A54" s="1" t="s">
        <v>82</v>
      </c>
      <c r="B54" s="28" t="s">
        <v>83</v>
      </c>
      <c r="C54" s="1" t="s">
        <v>32</v>
      </c>
      <c r="D54" s="1" t="s">
        <v>33</v>
      </c>
      <c r="E54" s="28" t="s">
        <v>25</v>
      </c>
      <c r="F54" s="28" t="s">
        <v>161</v>
      </c>
      <c r="G54" s="28" t="str">
        <f>VLOOKUP($A54,'EBA2017'!$A:$G,7,FALSE)</f>
        <v>Two</v>
      </c>
      <c r="H54" s="32">
        <f>VLOOKUP($A54,'EBA2017'!$A:$AZ,44,FALSE)</f>
        <v>2</v>
      </c>
      <c r="I54" s="28">
        <f t="shared" si="0"/>
        <v>0.5</v>
      </c>
      <c r="J54" s="32" t="str">
        <f>VLOOKUP($A54,'EBA2017'!$A:$AZ,45,FALSE)</f>
        <v>No data</v>
      </c>
      <c r="K54" s="28" t="str">
        <f t="shared" si="1"/>
        <v>No data</v>
      </c>
      <c r="L54" s="42">
        <f>VLOOKUP($A54,'EBA2017'!$A:$AZ,46,FALSE)</f>
        <v>4.9093637070553656E-2</v>
      </c>
      <c r="M54" s="43">
        <f t="shared" si="2"/>
        <v>0.99062456789997544</v>
      </c>
      <c r="N54" s="42">
        <f t="shared" si="3"/>
        <v>0.74531228394998772</v>
      </c>
      <c r="O54" s="32">
        <f>VLOOKUP($A54,'EBA2017'!$A:$AZ,41,FALSE)</f>
        <v>4.9000000000000004</v>
      </c>
      <c r="P54" s="1">
        <f>VLOOKUP($A54,'EBA2017'!$A:$AZ,42,FALSE)</f>
        <v>4</v>
      </c>
      <c r="Q54" s="1">
        <f>VLOOKUP($A54,'EBA2017'!$A:$AZ,43,FALSE)</f>
        <v>3.5</v>
      </c>
      <c r="R54" s="32">
        <f>IF(5="No Data","No Data",O54/(13-IF(O54&lt;13,VLOOKUP($A54,'Data Gaps'!$A:$Z,12,FALSE),0)))</f>
        <v>0.37692307692307697</v>
      </c>
      <c r="S54" s="1">
        <f>IF(P54="No Data","No Data",P54/(8-IF(P54&lt;8,VLOOKUP($A54,'Data Gaps'!$A:$Z,13,FALSE),0)))</f>
        <v>0.5</v>
      </c>
      <c r="T54" s="1">
        <f>IF(Q54="No Data","No Data",Q54/(9-IF(Q54&lt;9,VLOOKUP($A54,'Data Gaps'!$A:$Z,14,FALSE),0)))</f>
        <v>0.5</v>
      </c>
      <c r="U54" s="32">
        <f t="shared" si="4"/>
        <v>53.055884021826614</v>
      </c>
    </row>
    <row r="55" spans="1:21" x14ac:dyDescent="0.35">
      <c r="A55" s="1" t="s">
        <v>100</v>
      </c>
      <c r="B55" s="28" t="s">
        <v>101</v>
      </c>
      <c r="C55" s="1" t="s">
        <v>16</v>
      </c>
      <c r="D55" s="1" t="s">
        <v>17</v>
      </c>
      <c r="E55" s="28" t="s">
        <v>18</v>
      </c>
      <c r="F55" s="28" t="s">
        <v>161</v>
      </c>
      <c r="G55" s="28" t="str">
        <f>VLOOKUP($A55,'EBA2017'!$A:$G,7,FALSE)</f>
        <v>Two</v>
      </c>
      <c r="H55" s="32">
        <f>VLOOKUP($A55,'EBA2017'!$A:$AZ,44,FALSE)</f>
        <v>1</v>
      </c>
      <c r="I55" s="28">
        <f t="shared" si="0"/>
        <v>0.75</v>
      </c>
      <c r="J55" s="32">
        <f>VLOOKUP($A55,'EBA2017'!$A:$AZ,45,FALSE)</f>
        <v>2</v>
      </c>
      <c r="K55" s="28">
        <f t="shared" si="1"/>
        <v>0.81818181818181823</v>
      </c>
      <c r="L55" s="42">
        <f>VLOOKUP($A55,'EBA2017'!$A:$AZ,46,FALSE)</f>
        <v>2.3976011608253094</v>
      </c>
      <c r="M55" s="43">
        <f t="shared" si="2"/>
        <v>0.54212911840381017</v>
      </c>
      <c r="N55" s="42">
        <f t="shared" si="3"/>
        <v>0.70343697886187628</v>
      </c>
      <c r="O55" s="32">
        <f>VLOOKUP($A55,'EBA2017'!$A:$AZ,41,FALSE)</f>
        <v>8</v>
      </c>
      <c r="P55" s="1">
        <f>VLOOKUP($A55,'EBA2017'!$A:$AZ,42,FALSE)</f>
        <v>2</v>
      </c>
      <c r="Q55" s="1">
        <f>VLOOKUP($A55,'EBA2017'!$A:$AZ,43,FALSE)</f>
        <v>5</v>
      </c>
      <c r="R55" s="32">
        <f>IF(5="No Data","No Data",O55/(13-IF(O55&lt;13,VLOOKUP($A55,'Data Gaps'!$A:$Z,12,FALSE),0)))</f>
        <v>0.61538461538461542</v>
      </c>
      <c r="S55" s="1">
        <f>IF(P55="No Data","No Data",P55/(8-IF(P55&lt;8,VLOOKUP($A55,'Data Gaps'!$A:$Z,13,FALSE),0)))</f>
        <v>0.25</v>
      </c>
      <c r="T55" s="1">
        <f>IF(Q55="No Data","No Data",Q55/(9-IF(Q55&lt;9,VLOOKUP($A55,'Data Gaps'!$A:$Z,14,FALSE),0)))</f>
        <v>0.55555555555555558</v>
      </c>
      <c r="U55" s="32">
        <f t="shared" si="4"/>
        <v>53.109428745051176</v>
      </c>
    </row>
    <row r="56" spans="1:21" x14ac:dyDescent="0.35">
      <c r="A56" s="1" t="s">
        <v>102</v>
      </c>
      <c r="B56" s="28" t="s">
        <v>103</v>
      </c>
      <c r="C56" s="1" t="s">
        <v>16</v>
      </c>
      <c r="D56" s="1" t="s">
        <v>17</v>
      </c>
      <c r="E56" s="29" t="s">
        <v>9</v>
      </c>
      <c r="F56" s="28" t="s">
        <v>160</v>
      </c>
      <c r="G56" s="28" t="str">
        <f>VLOOKUP($A56,'EBA2017'!$A:$G,7,FALSE)</f>
        <v>Two</v>
      </c>
      <c r="H56" s="32">
        <f>VLOOKUP($A56,'EBA2017'!$A:$AZ,44,FALSE)</f>
        <v>2</v>
      </c>
      <c r="I56" s="28">
        <f t="shared" si="0"/>
        <v>0.5</v>
      </c>
      <c r="J56" s="32">
        <f>VLOOKUP($A56,'EBA2017'!$A:$AZ,45,FALSE)</f>
        <v>7</v>
      </c>
      <c r="K56" s="28">
        <f t="shared" si="1"/>
        <v>0.36363636363636365</v>
      </c>
      <c r="L56" s="42">
        <f>VLOOKUP($A56,'EBA2017'!$A:$AZ,46,FALSE)</f>
        <v>0.5443003091402191</v>
      </c>
      <c r="M56" s="43">
        <f t="shared" si="2"/>
        <v>0.89605474568867671</v>
      </c>
      <c r="N56" s="42">
        <f t="shared" si="3"/>
        <v>0.58656370310834671</v>
      </c>
      <c r="O56" s="32">
        <f>VLOOKUP($A56,'EBA2017'!$A:$AZ,41,FALSE)</f>
        <v>7</v>
      </c>
      <c r="P56" s="1">
        <f>VLOOKUP($A56,'EBA2017'!$A:$AZ,42,FALSE)</f>
        <v>2</v>
      </c>
      <c r="Q56" s="1">
        <f>VLOOKUP($A56,'EBA2017'!$A:$AZ,43,FALSE)</f>
        <v>4</v>
      </c>
      <c r="R56" s="32">
        <f>IF(5="No Data","No Data",O56/(13-IF(O56&lt;13,VLOOKUP($A56,'Data Gaps'!$A:$Z,12,FALSE),0)))</f>
        <v>0.53846153846153844</v>
      </c>
      <c r="S56" s="1">
        <f>IF(P56="No Data","No Data",P56/(8-IF(P56&lt;8,VLOOKUP($A56,'Data Gaps'!$A:$Z,13,FALSE),0)))</f>
        <v>0.4</v>
      </c>
      <c r="T56" s="1">
        <f>IF(Q56="No Data","No Data",Q56/(9-IF(Q56&lt;9,VLOOKUP($A56,'Data Gaps'!$A:$Z,14,FALSE),0)))</f>
        <v>0.44444444444444442</v>
      </c>
      <c r="U56" s="32">
        <f t="shared" si="4"/>
        <v>49.236742150358239</v>
      </c>
    </row>
    <row r="57" spans="1:21" x14ac:dyDescent="0.35">
      <c r="A57" s="1" t="s">
        <v>98</v>
      </c>
      <c r="B57" s="28" t="s">
        <v>99</v>
      </c>
      <c r="C57" s="1" t="s">
        <v>21</v>
      </c>
      <c r="D57" s="1" t="s">
        <v>22</v>
      </c>
      <c r="E57" s="28" t="s">
        <v>9</v>
      </c>
      <c r="F57" s="28" t="s">
        <v>160</v>
      </c>
      <c r="G57" s="28" t="str">
        <f>VLOOKUP($A57,'EBA2017'!$A:$G,7,FALSE)</f>
        <v>Two</v>
      </c>
      <c r="H57" s="32">
        <f>VLOOKUP($A57,'EBA2017'!$A:$AZ,44,FALSE)</f>
        <v>2</v>
      </c>
      <c r="I57" s="28">
        <f t="shared" si="0"/>
        <v>0.5</v>
      </c>
      <c r="J57" s="32">
        <f>VLOOKUP($A57,'EBA2017'!$A:$AZ,45,FALSE)</f>
        <v>2</v>
      </c>
      <c r="K57" s="28">
        <f t="shared" si="1"/>
        <v>0.81818181818181823</v>
      </c>
      <c r="L57" s="42">
        <f>VLOOKUP($A57,'EBA2017'!$A:$AZ,46,FALSE)</f>
        <v>1.4203475967273052</v>
      </c>
      <c r="M57" s="43">
        <f t="shared" si="2"/>
        <v>0.72875563420952783</v>
      </c>
      <c r="N57" s="42">
        <f t="shared" si="3"/>
        <v>0.68231248413044876</v>
      </c>
      <c r="O57" s="32">
        <f>VLOOKUP($A57,'EBA2017'!$A:$AZ,41,FALSE)</f>
        <v>9.35</v>
      </c>
      <c r="P57" s="1">
        <f>VLOOKUP($A57,'EBA2017'!$A:$AZ,42,FALSE)</f>
        <v>6</v>
      </c>
      <c r="Q57" s="1">
        <f>VLOOKUP($A57,'EBA2017'!$A:$AZ,43,FALSE)</f>
        <v>4.5</v>
      </c>
      <c r="R57" s="32">
        <f>IF(5="No Data","No Data",O57/(13-IF(O57&lt;13,VLOOKUP($A57,'Data Gaps'!$A:$Z,12,FALSE),0)))</f>
        <v>0.71923076923076923</v>
      </c>
      <c r="S57" s="1">
        <f>IF(P57="No Data","No Data",P57/(8-IF(P57&lt;8,VLOOKUP($A57,'Data Gaps'!$A:$Z,13,FALSE),0)))</f>
        <v>0.75</v>
      </c>
      <c r="T57" s="1">
        <f>IF(Q57="No Data","No Data",Q57/(9-IF(Q57&lt;9,VLOOKUP($A57,'Data Gaps'!$A:$Z,14,FALSE),0)))</f>
        <v>0.5</v>
      </c>
      <c r="U57" s="32">
        <f t="shared" si="4"/>
        <v>66.288581334030454</v>
      </c>
    </row>
    <row r="58" spans="1:21" x14ac:dyDescent="0.35">
      <c r="A58" s="1" t="s">
        <v>106</v>
      </c>
      <c r="B58" s="28" t="s">
        <v>107</v>
      </c>
      <c r="C58" s="1" t="s">
        <v>32</v>
      </c>
      <c r="D58" s="1" t="s">
        <v>33</v>
      </c>
      <c r="E58" s="29" t="s">
        <v>9</v>
      </c>
      <c r="F58" s="28" t="s">
        <v>159</v>
      </c>
      <c r="G58" s="28" t="str">
        <f>VLOOKUP($A58,'EBA2017'!$A:$G,7,FALSE)</f>
        <v>Two</v>
      </c>
      <c r="H58" s="32">
        <f>VLOOKUP($A58,'EBA2017'!$A:$AZ,44,FALSE)</f>
        <v>1</v>
      </c>
      <c r="I58" s="28">
        <f t="shared" si="0"/>
        <v>0.75</v>
      </c>
      <c r="J58" s="32">
        <f>VLOOKUP($A58,'EBA2017'!$A:$AZ,45,FALSE)</f>
        <v>2</v>
      </c>
      <c r="K58" s="28">
        <f t="shared" si="1"/>
        <v>0.81818181818181823</v>
      </c>
      <c r="L58" s="42">
        <f>VLOOKUP($A58,'EBA2017'!$A:$AZ,46,FALSE)</f>
        <v>2.5111168206702238E-2</v>
      </c>
      <c r="M58" s="43">
        <f t="shared" si="2"/>
        <v>0.99520450986069953</v>
      </c>
      <c r="N58" s="42">
        <f t="shared" si="3"/>
        <v>0.85446210934750599</v>
      </c>
      <c r="O58" s="32">
        <f>VLOOKUP($A58,'EBA2017'!$A:$AZ,41,FALSE)</f>
        <v>5.5</v>
      </c>
      <c r="P58" s="1">
        <f>VLOOKUP($A58,'EBA2017'!$A:$AZ,42,FALSE)</f>
        <v>2</v>
      </c>
      <c r="Q58" s="1">
        <f>VLOOKUP($A58,'EBA2017'!$A:$AZ,43,FALSE)</f>
        <v>5.5</v>
      </c>
      <c r="R58" s="32">
        <f>IF(5="No Data","No Data",O58/(13-IF(O58&lt;13,VLOOKUP($A58,'Data Gaps'!$A:$Z,12,FALSE),0)))</f>
        <v>0.42307692307692307</v>
      </c>
      <c r="S58" s="1">
        <f>IF(P58="No Data","No Data",P58/(8-IF(P58&lt;8,VLOOKUP($A58,'Data Gaps'!$A:$Z,13,FALSE),0)))</f>
        <v>0.25</v>
      </c>
      <c r="T58" s="1">
        <f>IF(Q58="No Data","No Data",Q58/(9-IF(Q58&lt;9,VLOOKUP($A58,'Data Gaps'!$A:$Z,14,FALSE),0)))</f>
        <v>0.61111111111111116</v>
      </c>
      <c r="U58" s="32">
        <f t="shared" si="4"/>
        <v>53.466253588388504</v>
      </c>
    </row>
    <row r="59" spans="1:21" x14ac:dyDescent="0.35">
      <c r="A59" s="1" t="s">
        <v>124</v>
      </c>
      <c r="B59" s="28" t="s">
        <v>125</v>
      </c>
      <c r="C59" s="1" t="s">
        <v>16</v>
      </c>
      <c r="D59" s="1" t="s">
        <v>17</v>
      </c>
      <c r="E59" s="29" t="s">
        <v>9</v>
      </c>
      <c r="F59" s="28" t="s">
        <v>160</v>
      </c>
      <c r="G59" s="28" t="str">
        <f>VLOOKUP($A59,'EBA2017'!$A:$G,7,FALSE)</f>
        <v>Two</v>
      </c>
      <c r="H59" s="32">
        <f>VLOOKUP($A59,'EBA2017'!$A:$AZ,44,FALSE)</f>
        <v>2</v>
      </c>
      <c r="I59" s="28">
        <f t="shared" si="0"/>
        <v>0.5</v>
      </c>
      <c r="J59" s="32">
        <f>VLOOKUP($A59,'EBA2017'!$A:$AZ,45,FALSE)</f>
        <v>21</v>
      </c>
      <c r="K59" s="28">
        <f t="shared" si="1"/>
        <v>0</v>
      </c>
      <c r="L59" s="42">
        <f>VLOOKUP($A59,'EBA2017'!$A:$AZ,46,FALSE)</f>
        <v>6.1089129054058766</v>
      </c>
      <c r="M59" s="43">
        <f t="shared" si="2"/>
        <v>0</v>
      </c>
      <c r="N59" s="42">
        <f t="shared" si="3"/>
        <v>0.16666666666666666</v>
      </c>
      <c r="O59" s="32">
        <f>VLOOKUP($A59,'EBA2017'!$A:$AZ,41,FALSE)</f>
        <v>6.5</v>
      </c>
      <c r="P59" s="1">
        <f>VLOOKUP($A59,'EBA2017'!$A:$AZ,42,FALSE)</f>
        <v>1.5</v>
      </c>
      <c r="Q59" s="1" t="str">
        <f>VLOOKUP($A59,'EBA2017'!$A:$AZ,43,FALSE)</f>
        <v>No data</v>
      </c>
      <c r="R59" s="32">
        <f>IF(5="No Data","No Data",O59/(13-IF(O59&lt;13,VLOOKUP($A59,'Data Gaps'!$A:$Z,12,FALSE),0)))</f>
        <v>0.5</v>
      </c>
      <c r="S59" s="1">
        <f>IF(P59="No Data","No Data",P59/(8-IF(P59&lt;8,VLOOKUP($A59,'Data Gaps'!$A:$Z,13,FALSE),0)))</f>
        <v>0.25</v>
      </c>
      <c r="T59" s="1" t="str">
        <f>IF(Q59="No Data","No Data",Q59/(9-IF(Q59&lt;9,VLOOKUP($A59,'Data Gaps'!$A:$Z,14,FALSE),0)))</f>
        <v>No Data</v>
      </c>
      <c r="U59" s="32">
        <f t="shared" si="4"/>
        <v>30.555555555555554</v>
      </c>
    </row>
    <row r="60" spans="1:21" x14ac:dyDescent="0.35">
      <c r="A60" s="1" t="s">
        <v>130</v>
      </c>
      <c r="B60" s="28" t="s">
        <v>131</v>
      </c>
      <c r="C60" s="1" t="s">
        <v>32</v>
      </c>
      <c r="D60" s="1" t="s">
        <v>33</v>
      </c>
      <c r="E60" s="29" t="s">
        <v>25</v>
      </c>
      <c r="F60" s="28" t="s">
        <v>161</v>
      </c>
      <c r="G60" s="28" t="str">
        <f>VLOOKUP($A60,'EBA2017'!$A:$G,7,FALSE)</f>
        <v>Two</v>
      </c>
      <c r="H60" s="32">
        <f>VLOOKUP($A60,'EBA2017'!$A:$AZ,44,FALSE)</f>
        <v>3</v>
      </c>
      <c r="I60" s="28">
        <f t="shared" si="0"/>
        <v>0.25</v>
      </c>
      <c r="J60" s="32">
        <f>VLOOKUP($A60,'EBA2017'!$A:$AZ,45,FALSE)</f>
        <v>6</v>
      </c>
      <c r="K60" s="28">
        <f t="shared" si="1"/>
        <v>0.45454545454545453</v>
      </c>
      <c r="L60" s="42">
        <f>VLOOKUP($A60,'EBA2017'!$A:$AZ,46,FALSE)</f>
        <v>0.6720444677242442</v>
      </c>
      <c r="M60" s="43">
        <f t="shared" si="2"/>
        <v>0.87165939108787338</v>
      </c>
      <c r="N60" s="42">
        <f t="shared" si="3"/>
        <v>0.52540161521110929</v>
      </c>
      <c r="O60" s="32">
        <f>VLOOKUP($A60,'EBA2017'!$A:$AZ,41,FALSE)</f>
        <v>5</v>
      </c>
      <c r="P60" s="1">
        <f>VLOOKUP($A60,'EBA2017'!$A:$AZ,42,FALSE)</f>
        <v>3</v>
      </c>
      <c r="Q60" s="1">
        <f>VLOOKUP($A60,'EBA2017'!$A:$AZ,43,FALSE)</f>
        <v>4.5</v>
      </c>
      <c r="R60" s="32">
        <f>IF(5="No Data","No Data",O60/(13-IF(O60&lt;13,VLOOKUP($A60,'Data Gaps'!$A:$Z,12,FALSE),0)))</f>
        <v>0.38461538461538464</v>
      </c>
      <c r="S60" s="1">
        <f>IF(P60="No Data","No Data",P60/(8-IF(P60&lt;8,VLOOKUP($A60,'Data Gaps'!$A:$Z,13,FALSE),0)))</f>
        <v>0.375</v>
      </c>
      <c r="T60" s="1">
        <f>IF(Q60="No Data","No Data",Q60/(9-IF(Q60&lt;9,VLOOKUP($A60,'Data Gaps'!$A:$Z,14,FALSE),0)))</f>
        <v>0.5</v>
      </c>
      <c r="U60" s="32">
        <f t="shared" si="4"/>
        <v>44.62542499566235</v>
      </c>
    </row>
    <row r="61" spans="1:21" x14ac:dyDescent="0.35">
      <c r="A61" s="1" t="s">
        <v>128</v>
      </c>
      <c r="B61" s="28" t="s">
        <v>129</v>
      </c>
      <c r="C61" s="1" t="s">
        <v>16</v>
      </c>
      <c r="D61" s="1" t="s">
        <v>17</v>
      </c>
      <c r="E61" s="29" t="s">
        <v>18</v>
      </c>
      <c r="F61" s="28" t="s">
        <v>159</v>
      </c>
      <c r="G61" s="28" t="str">
        <f>VLOOKUP($A61,'EBA2017'!$A:$G,7,FALSE)</f>
        <v>Two</v>
      </c>
      <c r="H61" s="32">
        <f>VLOOKUP($A61,'EBA2017'!$A:$AZ,44,FALSE)</f>
        <v>4</v>
      </c>
      <c r="I61" s="28">
        <f t="shared" si="0"/>
        <v>0</v>
      </c>
      <c r="J61" s="32">
        <f>VLOOKUP($A61,'EBA2017'!$A:$AZ,45,FALSE)</f>
        <v>16</v>
      </c>
      <c r="K61" s="28">
        <f t="shared" si="1"/>
        <v>0</v>
      </c>
      <c r="L61" s="42">
        <f>VLOOKUP($A61,'EBA2017'!$A:$AZ,46,FALSE)</f>
        <v>4.2857142857142856</v>
      </c>
      <c r="M61" s="43">
        <f t="shared" si="2"/>
        <v>0.18155537696106427</v>
      </c>
      <c r="N61" s="42">
        <f t="shared" si="3"/>
        <v>6.0518458987021427E-2</v>
      </c>
      <c r="O61" s="32">
        <f>VLOOKUP($A61,'EBA2017'!$A:$AZ,41,FALSE)</f>
        <v>9.7000000000000011</v>
      </c>
      <c r="P61" s="1">
        <f>VLOOKUP($A61,'EBA2017'!$A:$AZ,42,FALSE)</f>
        <v>3</v>
      </c>
      <c r="Q61" s="1">
        <f>VLOOKUP($A61,'EBA2017'!$A:$AZ,43,FALSE)</f>
        <v>3</v>
      </c>
      <c r="R61" s="32">
        <f>IF(5="No Data","No Data",O61/(13-IF(O61&lt;13,VLOOKUP($A61,'Data Gaps'!$A:$Z,12,FALSE),0)))</f>
        <v>0.74615384615384628</v>
      </c>
      <c r="S61" s="1">
        <f>IF(P61="No Data","No Data",P61/(8-IF(P61&lt;8,VLOOKUP($A61,'Data Gaps'!$A:$Z,13,FALSE),0)))</f>
        <v>0.375</v>
      </c>
      <c r="T61" s="1">
        <f>IF(Q61="No Data","No Data",Q61/(9-IF(Q61&lt;9,VLOOKUP($A61,'Data Gaps'!$A:$Z,14,FALSE),0)))</f>
        <v>0.33333333333333331</v>
      </c>
      <c r="U61" s="32">
        <f t="shared" si="4"/>
        <v>37.875140961855024</v>
      </c>
    </row>
    <row r="62" spans="1:21" x14ac:dyDescent="0.35">
      <c r="A62" s="1" t="s">
        <v>134</v>
      </c>
      <c r="B62" s="28" t="s">
        <v>135</v>
      </c>
      <c r="C62" s="1" t="s">
        <v>16</v>
      </c>
      <c r="D62" s="1" t="s">
        <v>17</v>
      </c>
      <c r="E62" s="28" t="s">
        <v>18</v>
      </c>
      <c r="F62" s="28" t="s">
        <v>160</v>
      </c>
      <c r="G62" s="28" t="str">
        <f>VLOOKUP($A62,'EBA2017'!$A:$G,7,FALSE)</f>
        <v>Two</v>
      </c>
      <c r="H62" s="32">
        <f>VLOOKUP($A62,'EBA2017'!$A:$AZ,44,FALSE)</f>
        <v>3</v>
      </c>
      <c r="I62" s="28">
        <f t="shared" si="0"/>
        <v>0.25</v>
      </c>
      <c r="J62" s="32">
        <f>VLOOKUP($A62,'EBA2017'!$A:$AZ,45,FALSE)</f>
        <v>4</v>
      </c>
      <c r="K62" s="28">
        <f t="shared" si="1"/>
        <v>0.63636363636363635</v>
      </c>
      <c r="L62" s="42">
        <f>VLOOKUP($A62,'EBA2017'!$A:$AZ,46,FALSE)</f>
        <v>0.26911645834480535</v>
      </c>
      <c r="M62" s="43">
        <f t="shared" si="2"/>
        <v>0.94860671906249627</v>
      </c>
      <c r="N62" s="42">
        <f t="shared" si="3"/>
        <v>0.61165678514204425</v>
      </c>
      <c r="O62" s="32">
        <f>VLOOKUP($A62,'EBA2017'!$A:$AZ,41,FALSE)</f>
        <v>6.9</v>
      </c>
      <c r="P62" s="1">
        <f>VLOOKUP($A62,'EBA2017'!$A:$AZ,42,FALSE)</f>
        <v>3</v>
      </c>
      <c r="Q62" s="1">
        <f>VLOOKUP($A62,'EBA2017'!$A:$AZ,43,FALSE)</f>
        <v>4</v>
      </c>
      <c r="R62" s="32">
        <f>IF(5="No Data","No Data",O62/(13-IF(O62&lt;13,VLOOKUP($A62,'Data Gaps'!$A:$Z,12,FALSE),0)))</f>
        <v>0.53076923076923077</v>
      </c>
      <c r="S62" s="1">
        <f>IF(P62="No Data","No Data",P62/(8-IF(P62&lt;8,VLOOKUP($A62,'Data Gaps'!$A:$Z,13,FALSE),0)))</f>
        <v>0.375</v>
      </c>
      <c r="T62" s="1">
        <f>IF(Q62="No Data","No Data",Q62/(9-IF(Q62&lt;9,VLOOKUP($A62,'Data Gaps'!$A:$Z,14,FALSE),0)))</f>
        <v>0.5</v>
      </c>
      <c r="U62" s="32">
        <f t="shared" si="4"/>
        <v>50.43565039778187</v>
      </c>
    </row>
    <row r="63" spans="1:21" x14ac:dyDescent="0.35">
      <c r="A63" s="1" t="s">
        <v>138</v>
      </c>
      <c r="B63" s="28" t="s">
        <v>139</v>
      </c>
      <c r="C63" s="1" t="s">
        <v>21</v>
      </c>
      <c r="D63" s="1" t="s">
        <v>22</v>
      </c>
      <c r="E63" s="28" t="s">
        <v>40</v>
      </c>
      <c r="F63" s="28" t="s">
        <v>160</v>
      </c>
      <c r="G63" s="28" t="str">
        <f>VLOOKUP($A63,'EBA2017'!$A:$G,7,FALSE)</f>
        <v>Two</v>
      </c>
      <c r="H63" s="32">
        <f>VLOOKUP($A63,'EBA2017'!$A:$AZ,44,FALSE)</f>
        <v>1</v>
      </c>
      <c r="I63" s="28">
        <f t="shared" si="0"/>
        <v>0.75</v>
      </c>
      <c r="J63" s="32">
        <f>VLOOKUP($A63,'EBA2017'!$A:$AZ,45,FALSE)</f>
        <v>2</v>
      </c>
      <c r="K63" s="28">
        <f t="shared" si="1"/>
        <v>0.81818181818181823</v>
      </c>
      <c r="L63" s="42">
        <f>VLOOKUP($A63,'EBA2017'!$A:$AZ,46,FALSE)</f>
        <v>0.2486916581268519</v>
      </c>
      <c r="M63" s="43">
        <f t="shared" si="2"/>
        <v>0.95250725157600291</v>
      </c>
      <c r="N63" s="42">
        <f t="shared" si="3"/>
        <v>0.84022968991927371</v>
      </c>
      <c r="O63" s="32">
        <f>VLOOKUP($A63,'EBA2017'!$A:$AZ,41,FALSE)</f>
        <v>10.1</v>
      </c>
      <c r="P63" s="1">
        <f>VLOOKUP($A63,'EBA2017'!$A:$AZ,42,FALSE)</f>
        <v>4.5</v>
      </c>
      <c r="Q63" s="1">
        <f>VLOOKUP($A63,'EBA2017'!$A:$AZ,43,FALSE)</f>
        <v>5.5</v>
      </c>
      <c r="R63" s="32">
        <f>IF(5="No Data","No Data",O63/(13-IF(O63&lt;13,VLOOKUP($A63,'Data Gaps'!$A:$Z,12,FALSE),0)))</f>
        <v>0.77692307692307694</v>
      </c>
      <c r="S63" s="1">
        <f>IF(P63="No Data","No Data",P63/(8-IF(P63&lt;8,VLOOKUP($A63,'Data Gaps'!$A:$Z,13,FALSE),0)))</f>
        <v>0.5625</v>
      </c>
      <c r="T63" s="1">
        <f>IF(Q63="No Data","No Data",Q63/(9-IF(Q63&lt;9,VLOOKUP($A63,'Data Gaps'!$A:$Z,14,FALSE),0)))</f>
        <v>0.6875</v>
      </c>
      <c r="U63" s="32">
        <f t="shared" si="4"/>
        <v>71.678819171058763</v>
      </c>
    </row>
    <row r="64" spans="1:21" x14ac:dyDescent="0.35">
      <c r="A64" s="1" t="s">
        <v>140</v>
      </c>
      <c r="B64" s="28" t="s">
        <v>141</v>
      </c>
      <c r="C64" s="1" t="s">
        <v>32</v>
      </c>
      <c r="D64" s="1" t="s">
        <v>33</v>
      </c>
      <c r="E64" s="28" t="s">
        <v>9</v>
      </c>
      <c r="F64" s="28" t="s">
        <v>162</v>
      </c>
      <c r="G64" s="28" t="str">
        <f>VLOOKUP($A64,'EBA2017'!$A:$G,7,FALSE)</f>
        <v>Two</v>
      </c>
      <c r="H64" s="32">
        <f>VLOOKUP($A64,'EBA2017'!$A:$AZ,44,FALSE)</f>
        <v>2</v>
      </c>
      <c r="I64" s="28">
        <f t="shared" si="0"/>
        <v>0.5</v>
      </c>
      <c r="J64" s="32">
        <f>VLOOKUP($A64,'EBA2017'!$A:$AZ,45,FALSE)</f>
        <v>3</v>
      </c>
      <c r="K64" s="28">
        <f t="shared" si="1"/>
        <v>0.72727272727272729</v>
      </c>
      <c r="L64" s="42">
        <f>VLOOKUP($A64,'EBA2017'!$A:$AZ,46,FALSE)</f>
        <v>1.9429872500845244</v>
      </c>
      <c r="M64" s="43">
        <f t="shared" si="2"/>
        <v>0.6289469242581931</v>
      </c>
      <c r="N64" s="42">
        <f t="shared" si="3"/>
        <v>0.61873988384364009</v>
      </c>
      <c r="O64" s="32">
        <f>VLOOKUP($A64,'EBA2017'!$A:$AZ,41,FALSE)</f>
        <v>8.3000000000000007</v>
      </c>
      <c r="P64" s="1">
        <f>VLOOKUP($A64,'EBA2017'!$A:$AZ,42,FALSE)</f>
        <v>5.5</v>
      </c>
      <c r="Q64" s="1">
        <f>VLOOKUP($A64,'EBA2017'!$A:$AZ,43,FALSE)</f>
        <v>3.5</v>
      </c>
      <c r="R64" s="32">
        <f>IF(5="No Data","No Data",O64/(13-IF(O64&lt;13,VLOOKUP($A64,'Data Gaps'!$A:$Z,12,FALSE),0)))</f>
        <v>0.63846153846153852</v>
      </c>
      <c r="S64" s="1">
        <f>IF(P64="No Data","No Data",P64/(8-IF(P64&lt;8,VLOOKUP($A64,'Data Gaps'!$A:$Z,13,FALSE),0)))</f>
        <v>0.6875</v>
      </c>
      <c r="T64" s="1">
        <f>IF(Q64="No Data","No Data",Q64/(9-IF(Q64&lt;9,VLOOKUP($A64,'Data Gaps'!$A:$Z,14,FALSE),0)))</f>
        <v>0.3888888888888889</v>
      </c>
      <c r="U64" s="32">
        <f t="shared" si="4"/>
        <v>58.339757779851688</v>
      </c>
    </row>
    <row r="65" spans="1:21" x14ac:dyDescent="0.35">
      <c r="A65" s="1" t="s">
        <v>142</v>
      </c>
      <c r="B65" s="28" t="s">
        <v>143</v>
      </c>
      <c r="C65" s="1" t="s">
        <v>16</v>
      </c>
      <c r="D65" s="1" t="s">
        <v>17</v>
      </c>
      <c r="E65" s="28" t="s">
        <v>9</v>
      </c>
      <c r="F65" s="28" t="s">
        <v>162</v>
      </c>
      <c r="G65" s="28" t="str">
        <f>VLOOKUP($A65,'EBA2017'!$A:$G,7,FALSE)</f>
        <v>Two</v>
      </c>
      <c r="H65" s="32">
        <f>VLOOKUP($A65,'EBA2017'!$A:$AZ,44,FALSE)</f>
        <v>4</v>
      </c>
      <c r="I65" s="28">
        <f t="shared" si="0"/>
        <v>0</v>
      </c>
      <c r="J65" s="32">
        <f>VLOOKUP($A65,'EBA2017'!$A:$AZ,45,FALSE)</f>
        <v>9</v>
      </c>
      <c r="K65" s="28">
        <f t="shared" si="1"/>
        <v>0.18181818181818182</v>
      </c>
      <c r="L65" s="42">
        <f>VLOOKUP($A65,'EBA2017'!$A:$AZ,46,FALSE)</f>
        <v>2.3724231578311361</v>
      </c>
      <c r="M65" s="43">
        <f t="shared" si="2"/>
        <v>0.54693737201001269</v>
      </c>
      <c r="N65" s="42">
        <f t="shared" si="3"/>
        <v>0.24291851794273148</v>
      </c>
      <c r="O65" s="32">
        <f>VLOOKUP($A65,'EBA2017'!$A:$AZ,41,FALSE)</f>
        <v>10.25</v>
      </c>
      <c r="P65" s="1">
        <f>VLOOKUP($A65,'EBA2017'!$A:$AZ,42,FALSE)</f>
        <v>2</v>
      </c>
      <c r="Q65" s="1">
        <f>VLOOKUP($A65,'EBA2017'!$A:$AZ,43,FALSE)</f>
        <v>5</v>
      </c>
      <c r="R65" s="32">
        <f>IF(5="No Data","No Data",O65/(13-IF(O65&lt;13,VLOOKUP($A65,'Data Gaps'!$A:$Z,12,FALSE),0)))</f>
        <v>0.78846153846153844</v>
      </c>
      <c r="S65" s="1">
        <f>IF(P65="No Data","No Data",P65/(8-IF(P65&lt;8,VLOOKUP($A65,'Data Gaps'!$A:$Z,13,FALSE),0)))</f>
        <v>0.25</v>
      </c>
      <c r="T65" s="1">
        <f>IF(Q65="No Data","No Data",Q65/(9-IF(Q65&lt;9,VLOOKUP($A65,'Data Gaps'!$A:$Z,14,FALSE),0)))</f>
        <v>0.55555555555555558</v>
      </c>
      <c r="U65" s="32">
        <f t="shared" si="4"/>
        <v>45.923390298995635</v>
      </c>
    </row>
    <row r="66" spans="1:21" x14ac:dyDescent="0.35">
      <c r="A66" s="1" t="s">
        <v>144</v>
      </c>
      <c r="B66" s="28" t="s">
        <v>145</v>
      </c>
      <c r="C66" s="1" t="s">
        <v>16</v>
      </c>
      <c r="D66" s="1" t="s">
        <v>17</v>
      </c>
      <c r="E66" s="28" t="s">
        <v>18</v>
      </c>
      <c r="F66" s="28" t="s">
        <v>160</v>
      </c>
      <c r="G66" s="28" t="str">
        <f>VLOOKUP($A66,'EBA2017'!$A:$G,7,FALSE)</f>
        <v>Two</v>
      </c>
      <c r="H66" s="32">
        <f>VLOOKUP($A66,'EBA2017'!$A:$AZ,44,FALSE)</f>
        <v>1</v>
      </c>
      <c r="I66" s="28">
        <f t="shared" si="0"/>
        <v>0.75</v>
      </c>
      <c r="J66" s="32" t="str">
        <f>VLOOKUP($A66,'EBA2017'!$A:$AZ,45,FALSE)</f>
        <v>No data</v>
      </c>
      <c r="K66" s="28" t="str">
        <f t="shared" si="1"/>
        <v>No data</v>
      </c>
      <c r="L66" s="42">
        <f>VLOOKUP($A66,'EBA2017'!$A:$AZ,46,FALSE)</f>
        <v>1.1764705882352942</v>
      </c>
      <c r="M66" s="43">
        <f t="shared" si="2"/>
        <v>0.77532892700891953</v>
      </c>
      <c r="N66" s="42">
        <f t="shared" si="3"/>
        <v>0.76266446350445971</v>
      </c>
      <c r="O66" s="32">
        <f>VLOOKUP($A66,'EBA2017'!$A:$AZ,41,FALSE)</f>
        <v>7.5</v>
      </c>
      <c r="P66" s="1">
        <f>VLOOKUP($A66,'EBA2017'!$A:$AZ,42,FALSE)</f>
        <v>2</v>
      </c>
      <c r="Q66" s="1" t="str">
        <f>VLOOKUP($A66,'EBA2017'!$A:$AZ,43,FALSE)</f>
        <v>No data</v>
      </c>
      <c r="R66" s="32">
        <f>IF(5="No Data","No Data",O66/(13-IF(O66&lt;13,VLOOKUP($A66,'Data Gaps'!$A:$Z,12,FALSE),0)))</f>
        <v>0.57692307692307687</v>
      </c>
      <c r="S66" s="1">
        <f>IF(P66="No Data","No Data",P66/(8-IF(P66&lt;8,VLOOKUP($A66,'Data Gaps'!$A:$Z,13,FALSE),0)))</f>
        <v>0.25</v>
      </c>
      <c r="T66" s="1" t="str">
        <f>IF(Q66="No Data","No Data",Q66/(9-IF(Q66&lt;9,VLOOKUP($A66,'Data Gaps'!$A:$Z,14,FALSE),0)))</f>
        <v>No Data</v>
      </c>
      <c r="U66" s="32">
        <f t="shared" si="4"/>
        <v>52.986251347584556</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workbookViewId="0">
      <pane xSplit="1" ySplit="4" topLeftCell="B5" activePane="bottomRight" state="frozen"/>
      <selection pane="topRight" activeCell="B1" sqref="B1"/>
      <selection pane="bottomLeft" activeCell="A5" sqref="A5"/>
      <selection pane="bottomRight" activeCell="O5" sqref="O5"/>
    </sheetView>
  </sheetViews>
  <sheetFormatPr defaultRowHeight="14.5" x14ac:dyDescent="0.35"/>
  <cols>
    <col min="1" max="1" width="29.453125" customWidth="1"/>
    <col min="5" max="5" width="15.7265625" bestFit="1" customWidth="1"/>
    <col min="6" max="7" width="15.7265625" customWidth="1"/>
    <col min="8" max="8" width="10.7265625" style="33" customWidth="1"/>
    <col min="9" max="9" width="10.1796875" customWidth="1"/>
    <col min="10" max="10" width="10.7265625" style="33" customWidth="1"/>
    <col min="11" max="11" width="10.1796875" customWidth="1"/>
    <col min="12" max="13" width="10.7265625" customWidth="1"/>
    <col min="15" max="15" width="8.7265625" style="33"/>
    <col min="18" max="18" width="8.7265625" style="33"/>
    <col min="21" max="22" width="8.7265625" style="33"/>
  </cols>
  <sheetData>
    <row r="1" spans="1:22" x14ac:dyDescent="0.35">
      <c r="A1" s="1">
        <f>COLUMN()</f>
        <v>1</v>
      </c>
      <c r="B1" s="1">
        <f>COLUMN()</f>
        <v>2</v>
      </c>
      <c r="C1" s="1">
        <f>COLUMN()</f>
        <v>3</v>
      </c>
      <c r="D1" s="1">
        <f>COLUMN()</f>
        <v>4</v>
      </c>
      <c r="E1" s="1">
        <f>COLUMN()</f>
        <v>5</v>
      </c>
      <c r="F1" s="1">
        <f>COLUMN()</f>
        <v>6</v>
      </c>
      <c r="G1" s="1">
        <f>COLUMN()</f>
        <v>7</v>
      </c>
      <c r="H1" s="32">
        <f>COLUMN()</f>
        <v>8</v>
      </c>
      <c r="I1" s="1">
        <f>COLUMN()</f>
        <v>9</v>
      </c>
      <c r="J1" s="32">
        <f>COLUMN()</f>
        <v>10</v>
      </c>
      <c r="K1" s="1">
        <f>COLUMN()</f>
        <v>11</v>
      </c>
      <c r="L1" s="1">
        <f>COLUMN()</f>
        <v>12</v>
      </c>
      <c r="M1" s="1">
        <f>COLUMN()</f>
        <v>13</v>
      </c>
      <c r="N1" s="1">
        <f>COLUMN()</f>
        <v>14</v>
      </c>
      <c r="O1" s="32">
        <f>COLUMN()</f>
        <v>15</v>
      </c>
      <c r="P1" s="1">
        <f>COLUMN()</f>
        <v>16</v>
      </c>
      <c r="Q1" s="1">
        <f>COLUMN()</f>
        <v>17</v>
      </c>
      <c r="R1" s="32">
        <f>COLUMN()</f>
        <v>18</v>
      </c>
      <c r="S1" s="1">
        <f>COLUMN()</f>
        <v>19</v>
      </c>
      <c r="T1" s="1">
        <f>COLUMN()</f>
        <v>20</v>
      </c>
      <c r="U1" s="32">
        <f>COLUMN()</f>
        <v>21</v>
      </c>
      <c r="V1" s="32"/>
    </row>
    <row r="2" spans="1:22" x14ac:dyDescent="0.35">
      <c r="A2" s="1" t="s">
        <v>235</v>
      </c>
      <c r="B2" s="1"/>
      <c r="C2" s="1"/>
      <c r="D2" s="1"/>
      <c r="E2" s="1"/>
      <c r="F2" s="1"/>
      <c r="G2" s="1"/>
      <c r="H2" s="44">
        <f>PERCENTILE(H5:H66,0.99)</f>
        <v>4</v>
      </c>
      <c r="I2" s="1"/>
      <c r="J2" s="32">
        <f>PERCENTILE(J5:J66,0.95)</f>
        <v>11</v>
      </c>
      <c r="K2" s="1"/>
      <c r="L2" s="1">
        <f>PERCENTILE(L5:L66,0.95)</f>
        <v>5.2364132710667244</v>
      </c>
      <c r="M2" s="1"/>
    </row>
    <row r="3" spans="1:22" x14ac:dyDescent="0.35">
      <c r="A3" s="1" t="s">
        <v>236</v>
      </c>
      <c r="B3" s="1"/>
      <c r="C3" s="1"/>
      <c r="D3" s="1"/>
      <c r="E3" s="1"/>
      <c r="F3" s="1"/>
      <c r="G3" s="1"/>
      <c r="H3" s="44">
        <f>MIN(H5:H66)</f>
        <v>0</v>
      </c>
      <c r="I3" s="1"/>
      <c r="J3" s="32">
        <f>MIN(J5:J66)</f>
        <v>0</v>
      </c>
      <c r="K3" s="1"/>
      <c r="L3" s="1">
        <f>MIN(L5:L66)</f>
        <v>0</v>
      </c>
      <c r="M3" s="1"/>
    </row>
    <row r="4" spans="1:22" ht="63" x14ac:dyDescent="0.35">
      <c r="A4" s="25" t="s">
        <v>0</v>
      </c>
      <c r="B4" s="25" t="s">
        <v>1</v>
      </c>
      <c r="C4" s="25" t="s">
        <v>2</v>
      </c>
      <c r="D4" s="25" t="s">
        <v>3</v>
      </c>
      <c r="E4" s="25" t="s">
        <v>4</v>
      </c>
      <c r="F4" s="25" t="s">
        <v>156</v>
      </c>
      <c r="G4" s="25" t="s">
        <v>157</v>
      </c>
      <c r="H4" s="36" t="s">
        <v>265</v>
      </c>
      <c r="I4" s="27" t="s">
        <v>266</v>
      </c>
      <c r="J4" s="36" t="s">
        <v>267</v>
      </c>
      <c r="K4" s="27" t="s">
        <v>230</v>
      </c>
      <c r="L4" s="26" t="s">
        <v>268</v>
      </c>
      <c r="M4" s="27" t="s">
        <v>232</v>
      </c>
      <c r="N4" s="27" t="s">
        <v>243</v>
      </c>
      <c r="O4" s="45" t="s">
        <v>269</v>
      </c>
      <c r="P4" s="7" t="s">
        <v>270</v>
      </c>
      <c r="Q4" s="46" t="s">
        <v>271</v>
      </c>
      <c r="R4" s="45" t="s">
        <v>272</v>
      </c>
      <c r="S4" s="7" t="s">
        <v>273</v>
      </c>
      <c r="T4" s="9" t="s">
        <v>274</v>
      </c>
      <c r="U4" s="37" t="s">
        <v>244</v>
      </c>
    </row>
    <row r="5" spans="1:22" x14ac:dyDescent="0.35">
      <c r="A5" s="1" t="s">
        <v>5</v>
      </c>
      <c r="B5" s="28" t="s">
        <v>6</v>
      </c>
      <c r="C5" s="1" t="s">
        <v>7</v>
      </c>
      <c r="D5" s="1" t="s">
        <v>8</v>
      </c>
      <c r="E5" s="28" t="s">
        <v>9</v>
      </c>
      <c r="F5" s="28" t="s">
        <v>159</v>
      </c>
      <c r="G5" s="28" t="str">
        <f>VLOOKUP($A5,'EBA2017'!$A:$G,7,FALSE)</f>
        <v>One</v>
      </c>
      <c r="H5" s="32">
        <f>VLOOKUP($A5,Calculator!$A:$AZ,44,FALSE)</f>
        <v>1</v>
      </c>
      <c r="I5" s="28">
        <f>IF(H5="No data","No data",IF(OR(H5="No practice",H5="N/A",H5&gt;$H$2),0,($H$2-H5)/($H$2-$H$3)))</f>
        <v>0.75</v>
      </c>
      <c r="J5" s="32">
        <f>VLOOKUP($A5,Calculator!$A:$AZ,45,FALSE)</f>
        <v>1</v>
      </c>
      <c r="K5" s="28">
        <f>IF(J5="No data","No data",IF(OR(J5="No practice",J5="N/A",J5&gt;$J$2),0,($J$2-J5)/($J$2-$J$3)))</f>
        <v>0.90909090909090906</v>
      </c>
      <c r="L5" s="42">
        <f>VLOOKUP($A5,Calculator!$A:$AZ,46,FALSE)</f>
        <v>0</v>
      </c>
      <c r="M5" s="43">
        <f>IF(L5="No data","No data",IF(OR(L5="No practice",L5="N/A",L5&gt;$L$2),0,($L$2-L5)/($L$2-$L$3)))</f>
        <v>1</v>
      </c>
      <c r="N5" s="42">
        <f>AVERAGE(I5,K5,M5)</f>
        <v>0.88636363636363635</v>
      </c>
      <c r="O5" s="32">
        <f>VLOOKUP($A5,Calculator!$A:$AZ,41,FALSE)</f>
        <v>9.3000000000000007</v>
      </c>
      <c r="P5" s="1">
        <f>VLOOKUP($A5,Calculator!$A:$AZ,42,FALSE)</f>
        <v>3.5</v>
      </c>
      <c r="Q5" s="1">
        <f>VLOOKUP($A5,Calculator!$A:$AZ,43,FALSE)</f>
        <v>5</v>
      </c>
      <c r="R5" s="32">
        <f>IF(5="No Data","No Data",O5/(13-IF(O5&lt;13,VLOOKUP($A5,'Data Gaps'!$A:$Z,12,FALSE),0)))</f>
        <v>0.7153846153846154</v>
      </c>
      <c r="S5" s="1">
        <f>IF(P5="No Data","No Data",P5/(8-IF(P5&lt;8,VLOOKUP($A5,'Data Gaps'!$A:$Z,13,FALSE),0)))</f>
        <v>0.4375</v>
      </c>
      <c r="T5" s="1">
        <f>IF(Q5="No Data","No Data",Q5/(9-IF(Q5&lt;9,VLOOKUP($A5,'Data Gaps'!$A:$Z,14,FALSE),0)))</f>
        <v>0.55555555555555558</v>
      </c>
      <c r="U5" s="32">
        <f>100*AVERAGE(N5,R5,S5,T5)</f>
        <v>64.870095182595193</v>
      </c>
    </row>
    <row r="6" spans="1:22" x14ac:dyDescent="0.35">
      <c r="A6" s="1" t="s">
        <v>23</v>
      </c>
      <c r="B6" s="28" t="s">
        <v>24</v>
      </c>
      <c r="C6" s="1" t="s">
        <v>7</v>
      </c>
      <c r="D6" s="1" t="s">
        <v>8</v>
      </c>
      <c r="E6" s="29" t="s">
        <v>25</v>
      </c>
      <c r="F6" s="28" t="s">
        <v>161</v>
      </c>
      <c r="G6" s="28" t="str">
        <f>VLOOKUP($A6,'EBA2017'!$A:$G,7,FALSE)</f>
        <v>One</v>
      </c>
      <c r="H6" s="32">
        <f>VLOOKUP($A6,Calculator!$A:$AZ,44,FALSE)</f>
        <v>1</v>
      </c>
      <c r="I6" s="28">
        <f t="shared" ref="I6:I66" si="0">IF(H6="No data","No data",IF(OR(H6="No practice",H6="N/A",H6&gt;$H$2),0,($H$2-H6)/($H$2-$H$3)))</f>
        <v>0.75</v>
      </c>
      <c r="J6" s="32">
        <f>VLOOKUP($A6,Calculator!$A:$AZ,45,FALSE)</f>
        <v>1</v>
      </c>
      <c r="K6" s="28">
        <f t="shared" ref="K6:K66" si="1">IF(J6="No data","No data",IF(OR(J6="No practice",J6="N/A",J6&gt;$J$2),0,($J$2-J6)/($J$2-$J$3)))</f>
        <v>0.90909090909090906</v>
      </c>
      <c r="L6" s="42">
        <f>VLOOKUP($A6,Calculator!$A:$AZ,46,FALSE)</f>
        <v>0.26742585609793085</v>
      </c>
      <c r="M6" s="43">
        <f t="shared" ref="M6:M66" si="2">IF(L6="No data","No data",IF(OR(L6="No practice",L6="N/A",L6&gt;$L$2),0,($L$2-L6)/($L$2-$L$3)))</f>
        <v>0.94892957407018175</v>
      </c>
      <c r="N6" s="42">
        <f t="shared" ref="N6:N66" si="3">AVERAGE(I6,K6,M6)</f>
        <v>0.86934016105369694</v>
      </c>
      <c r="O6" s="32">
        <f>VLOOKUP($A6,Calculator!$A:$AZ,41,FALSE)</f>
        <v>8.5</v>
      </c>
      <c r="P6" s="1">
        <f>VLOOKUP($A6,Calculator!$A:$AZ,42,FALSE)</f>
        <v>6</v>
      </c>
      <c r="Q6" s="1">
        <f>VLOOKUP($A6,Calculator!$A:$AZ,43,FALSE)</f>
        <v>6.5</v>
      </c>
      <c r="R6" s="32">
        <f>IF(5="No Data","No Data",O6/(13-IF(O6&lt;13,VLOOKUP($A6,'Data Gaps'!$A:$Z,12,FALSE),0)))</f>
        <v>0.65384615384615385</v>
      </c>
      <c r="S6" s="1">
        <f>IF(P6="No Data","No Data",P6/(8-IF(P6&lt;8,VLOOKUP($A6,'Data Gaps'!$A:$Z,13,FALSE),0)))</f>
        <v>0.75</v>
      </c>
      <c r="T6" s="1">
        <f>IF(Q6="No Data","No Data",Q6/(9-IF(Q6&lt;9,VLOOKUP($A6,'Data Gaps'!$A:$Z,14,FALSE),0)))</f>
        <v>0.72222222222222221</v>
      </c>
      <c r="U6" s="32">
        <f t="shared" ref="U6:U66" si="4">100*AVERAGE(N6,R6,S6,T6)</f>
        <v>74.885213428051827</v>
      </c>
    </row>
    <row r="7" spans="1:22" x14ac:dyDescent="0.35">
      <c r="A7" s="1" t="s">
        <v>36</v>
      </c>
      <c r="B7" s="28" t="s">
        <v>37</v>
      </c>
      <c r="C7" s="1" t="s">
        <v>38</v>
      </c>
      <c r="D7" s="1" t="s">
        <v>39</v>
      </c>
      <c r="E7" s="29" t="s">
        <v>40</v>
      </c>
      <c r="F7" s="28" t="s">
        <v>159</v>
      </c>
      <c r="G7" s="28" t="str">
        <f>VLOOKUP($A7,'EBA2017'!$A:$G,7,FALSE)</f>
        <v>One</v>
      </c>
      <c r="H7" s="32">
        <f>VLOOKUP($A7,Calculator!$A:$AZ,44,FALSE)</f>
        <v>1</v>
      </c>
      <c r="I7" s="28">
        <f t="shared" si="0"/>
        <v>0.75</v>
      </c>
      <c r="J7" s="32">
        <f>VLOOKUP($A7,Calculator!$A:$AZ,45,FALSE)</f>
        <v>1</v>
      </c>
      <c r="K7" s="28">
        <f t="shared" si="1"/>
        <v>0.90909090909090906</v>
      </c>
      <c r="L7" s="42">
        <f>VLOOKUP($A7,Calculator!$A:$AZ,46,FALSE)</f>
        <v>9.6180469374906713E-6</v>
      </c>
      <c r="M7" s="43">
        <f t="shared" si="2"/>
        <v>0.99999816323761326</v>
      </c>
      <c r="N7" s="42">
        <f t="shared" si="3"/>
        <v>0.88636302410950751</v>
      </c>
      <c r="O7" s="32">
        <f>VLOOKUP($A7,Calculator!$A:$AZ,41,FALSE)</f>
        <v>6</v>
      </c>
      <c r="P7" s="1">
        <f>VLOOKUP($A7,Calculator!$A:$AZ,42,FALSE)</f>
        <v>7</v>
      </c>
      <c r="Q7" s="1">
        <f>VLOOKUP($A7,Calculator!$A:$AZ,43,FALSE)</f>
        <v>7.5</v>
      </c>
      <c r="R7" s="32">
        <f>IF(5="No Data","No Data",O7/(13-IF(O7&lt;13,VLOOKUP($A7,'Data Gaps'!$A:$Z,12,FALSE),0)))</f>
        <v>0.46153846153846156</v>
      </c>
      <c r="S7" s="1">
        <f>IF(P7="No Data","No Data",P7/(8-IF(P7&lt;8,VLOOKUP($A7,'Data Gaps'!$A:$Z,13,FALSE),0)))</f>
        <v>0.875</v>
      </c>
      <c r="T7" s="1">
        <f>IF(Q7="No Data","No Data",Q7/(9-IF(Q7&lt;9,VLOOKUP($A7,'Data Gaps'!$A:$Z,14,FALSE),0)))</f>
        <v>0.83333333333333337</v>
      </c>
      <c r="U7" s="32">
        <f t="shared" si="4"/>
        <v>76.405870474532563</v>
      </c>
    </row>
    <row r="8" spans="1:22" x14ac:dyDescent="0.35">
      <c r="A8" s="1" t="s">
        <v>45</v>
      </c>
      <c r="B8" s="28" t="s">
        <v>46</v>
      </c>
      <c r="C8" s="1" t="s">
        <v>38</v>
      </c>
      <c r="D8" s="1" t="s">
        <v>39</v>
      </c>
      <c r="E8" s="29" t="s">
        <v>40</v>
      </c>
      <c r="F8" s="28" t="s">
        <v>162</v>
      </c>
      <c r="G8" s="28" t="str">
        <f>VLOOKUP($A8,'EBA2017'!$A:$G,7,FALSE)</f>
        <v>One</v>
      </c>
      <c r="H8" s="32">
        <f>VLOOKUP($A8,Calculator!$A:$AZ,44,FALSE)</f>
        <v>0</v>
      </c>
      <c r="I8" s="28">
        <f t="shared" si="0"/>
        <v>1</v>
      </c>
      <c r="J8" s="32">
        <f>VLOOKUP($A8,Calculator!$A:$AZ,45,FALSE)</f>
        <v>0</v>
      </c>
      <c r="K8" s="28">
        <f t="shared" si="1"/>
        <v>1</v>
      </c>
      <c r="L8" s="42">
        <f>VLOOKUP($A8,Calculator!$A:$AZ,46,FALSE)</f>
        <v>0</v>
      </c>
      <c r="M8" s="43">
        <f t="shared" si="2"/>
        <v>1</v>
      </c>
      <c r="N8" s="42">
        <f t="shared" si="3"/>
        <v>1</v>
      </c>
      <c r="O8" s="32">
        <f>VLOOKUP($A8,Calculator!$A:$AZ,41,FALSE)</f>
        <v>6.5</v>
      </c>
      <c r="P8" s="1">
        <f>VLOOKUP($A8,Calculator!$A:$AZ,42,FALSE)</f>
        <v>7</v>
      </c>
      <c r="Q8" s="1">
        <f>VLOOKUP($A8,Calculator!$A:$AZ,43,FALSE)</f>
        <v>7</v>
      </c>
      <c r="R8" s="32">
        <f>IF(5="No Data","No Data",O8/(13-IF(O8&lt;13,VLOOKUP($A8,'Data Gaps'!$A:$Z,12,FALSE),0)))</f>
        <v>0.5</v>
      </c>
      <c r="S8" s="1">
        <f>IF(P8="No Data","No Data",P8/(8-IF(P8&lt;8,VLOOKUP($A8,'Data Gaps'!$A:$Z,13,FALSE),0)))</f>
        <v>0.875</v>
      </c>
      <c r="T8" s="1">
        <f>IF(Q8="No Data","No Data",Q8/(9-IF(Q8&lt;9,VLOOKUP($A8,'Data Gaps'!$A:$Z,14,FALSE),0)))</f>
        <v>0.77777777777777779</v>
      </c>
      <c r="U8" s="32">
        <f t="shared" si="4"/>
        <v>78.819444444444443</v>
      </c>
    </row>
    <row r="9" spans="1:22" x14ac:dyDescent="0.35">
      <c r="A9" s="1" t="s">
        <v>120</v>
      </c>
      <c r="B9" s="28" t="s">
        <v>121</v>
      </c>
      <c r="C9" s="1" t="s">
        <v>38</v>
      </c>
      <c r="D9" s="1" t="s">
        <v>39</v>
      </c>
      <c r="E9" s="29" t="s">
        <v>40</v>
      </c>
      <c r="F9" s="28" t="s">
        <v>159</v>
      </c>
      <c r="G9" s="28" t="str">
        <f>VLOOKUP($A9,'EBA2017'!$A:$G,7,FALSE)</f>
        <v>One</v>
      </c>
      <c r="H9" s="32">
        <f>VLOOKUP($A9,Calculator!$A:$AZ,44,FALSE)</f>
        <v>0</v>
      </c>
      <c r="I9" s="28">
        <f t="shared" si="0"/>
        <v>1</v>
      </c>
      <c r="J9" s="32">
        <f>VLOOKUP($A9,Calculator!$A:$AZ,45,FALSE)</f>
        <v>0</v>
      </c>
      <c r="K9" s="28">
        <f t="shared" si="1"/>
        <v>1</v>
      </c>
      <c r="L9" s="42">
        <f>VLOOKUP($A9,Calculator!$A:$AZ,46,FALSE)</f>
        <v>0</v>
      </c>
      <c r="M9" s="43">
        <f t="shared" si="2"/>
        <v>1</v>
      </c>
      <c r="N9" s="42">
        <f t="shared" si="3"/>
        <v>1</v>
      </c>
      <c r="O9" s="32">
        <f>VLOOKUP($A9,Calculator!$A:$AZ,41,FALSE)</f>
        <v>10.75</v>
      </c>
      <c r="P9" s="1">
        <f>VLOOKUP($A9,Calculator!$A:$AZ,42,FALSE)</f>
        <v>7.75</v>
      </c>
      <c r="Q9" s="1">
        <f>VLOOKUP($A9,Calculator!$A:$AZ,43,FALSE)</f>
        <v>5.5</v>
      </c>
      <c r="R9" s="32">
        <f>IF(5="No Data","No Data",O9/(13-IF(O9&lt;13,VLOOKUP($A9,'Data Gaps'!$A:$Z,12,FALSE),0)))</f>
        <v>0.82692307692307687</v>
      </c>
      <c r="S9" s="1">
        <f>IF(P9="No Data","No Data",P9/(8-IF(P9&lt;8,VLOOKUP($A9,'Data Gaps'!$A:$Z,13,FALSE),0)))</f>
        <v>0.96875</v>
      </c>
      <c r="T9" s="1">
        <f>IF(Q9="No Data","No Data",Q9/(9-IF(Q9&lt;9,VLOOKUP($A9,'Data Gaps'!$A:$Z,14,FALSE),0)))</f>
        <v>0.6875</v>
      </c>
      <c r="U9" s="32">
        <f t="shared" si="4"/>
        <v>87.07932692307692</v>
      </c>
    </row>
    <row r="10" spans="1:22" x14ac:dyDescent="0.35">
      <c r="A10" s="1" t="s">
        <v>53</v>
      </c>
      <c r="B10" s="28" t="s">
        <v>54</v>
      </c>
      <c r="C10" s="1" t="s">
        <v>7</v>
      </c>
      <c r="D10" s="1" t="s">
        <v>8</v>
      </c>
      <c r="E10" s="29" t="s">
        <v>25</v>
      </c>
      <c r="F10" s="28" t="s">
        <v>162</v>
      </c>
      <c r="G10" s="28" t="str">
        <f>VLOOKUP($A10,'EBA2017'!$A:$G,7,FALSE)</f>
        <v>One</v>
      </c>
      <c r="H10" s="32">
        <f>VLOOKUP($A10,Calculator!$A:$AZ,44,FALSE)</f>
        <v>1</v>
      </c>
      <c r="I10" s="28">
        <f t="shared" si="0"/>
        <v>0.75</v>
      </c>
      <c r="J10" s="32">
        <f>VLOOKUP($A10,Calculator!$A:$AZ,45,FALSE)</f>
        <v>3</v>
      </c>
      <c r="K10" s="28">
        <f t="shared" si="1"/>
        <v>0.72727272727272729</v>
      </c>
      <c r="L10" s="42">
        <f>VLOOKUP($A10,Calculator!$A:$AZ,46,FALSE)</f>
        <v>0.29834519655417824</v>
      </c>
      <c r="M10" s="43">
        <f t="shared" si="2"/>
        <v>0.9430248948831722</v>
      </c>
      <c r="N10" s="42">
        <f t="shared" si="3"/>
        <v>0.80676587405196643</v>
      </c>
      <c r="O10" s="32">
        <f>VLOOKUP($A10,Calculator!$A:$AZ,41,FALSE)</f>
        <v>6.5</v>
      </c>
      <c r="P10" s="1">
        <f>VLOOKUP($A10,Calculator!$A:$AZ,42,FALSE)</f>
        <v>5.5</v>
      </c>
      <c r="Q10" s="1">
        <f>VLOOKUP($A10,Calculator!$A:$AZ,43,FALSE)</f>
        <v>6.5</v>
      </c>
      <c r="R10" s="32">
        <f>IF(5="No Data","No Data",O10/(13-IF(O10&lt;13,VLOOKUP($A10,'Data Gaps'!$A:$Z,12,FALSE),0)))</f>
        <v>0.5</v>
      </c>
      <c r="S10" s="1">
        <f>IF(P10="No Data","No Data",P10/(8-IF(P10&lt;8,VLOOKUP($A10,'Data Gaps'!$A:$Z,13,FALSE),0)))</f>
        <v>0.6875</v>
      </c>
      <c r="T10" s="1">
        <f>IF(Q10="No Data","No Data",Q10/(9-IF(Q10&lt;9,VLOOKUP($A10,'Data Gaps'!$A:$Z,14,FALSE),0)))</f>
        <v>0.72222222222222221</v>
      </c>
      <c r="U10" s="32">
        <f t="shared" si="4"/>
        <v>67.912202406854718</v>
      </c>
    </row>
    <row r="11" spans="1:22" x14ac:dyDescent="0.35">
      <c r="A11" s="1" t="s">
        <v>57</v>
      </c>
      <c r="B11" s="28" t="s">
        <v>58</v>
      </c>
      <c r="C11" s="1" t="s">
        <v>38</v>
      </c>
      <c r="D11" s="1" t="s">
        <v>39</v>
      </c>
      <c r="E11" s="29" t="s">
        <v>40</v>
      </c>
      <c r="F11" s="28" t="s">
        <v>159</v>
      </c>
      <c r="G11" s="28" t="str">
        <f>VLOOKUP($A11,'EBA2017'!$A:$G,7,FALSE)</f>
        <v>One</v>
      </c>
      <c r="H11" s="32">
        <f>VLOOKUP($A11,Calculator!$A:$AZ,44,FALSE)</f>
        <v>0</v>
      </c>
      <c r="I11" s="28">
        <f t="shared" si="0"/>
        <v>1</v>
      </c>
      <c r="J11" s="32">
        <f>VLOOKUP($A11,Calculator!$A:$AZ,45,FALSE)</f>
        <v>0</v>
      </c>
      <c r="K11" s="28">
        <f t="shared" si="1"/>
        <v>1</v>
      </c>
      <c r="L11" s="42">
        <f>VLOOKUP($A11,Calculator!$A:$AZ,46,FALSE)</f>
        <v>0</v>
      </c>
      <c r="M11" s="43">
        <f t="shared" si="2"/>
        <v>1</v>
      </c>
      <c r="N11" s="42">
        <f t="shared" si="3"/>
        <v>1</v>
      </c>
      <c r="O11" s="32">
        <f>VLOOKUP($A11,Calculator!$A:$AZ,41,FALSE)</f>
        <v>9.85</v>
      </c>
      <c r="P11" s="1">
        <f>VLOOKUP($A11,Calculator!$A:$AZ,42,FALSE)</f>
        <v>6</v>
      </c>
      <c r="Q11" s="1">
        <f>VLOOKUP($A11,Calculator!$A:$AZ,43,FALSE)</f>
        <v>5.5</v>
      </c>
      <c r="R11" s="32">
        <f>IF(5="No Data","No Data",O11/(13-IF(O11&lt;13,VLOOKUP($A11,'Data Gaps'!$A:$Z,12,FALSE),0)))</f>
        <v>0.75769230769230766</v>
      </c>
      <c r="S11" s="1">
        <f>IF(P11="No Data","No Data",P11/(8-IF(P11&lt;8,VLOOKUP($A11,'Data Gaps'!$A:$Z,13,FALSE),0)))</f>
        <v>0.8571428571428571</v>
      </c>
      <c r="T11" s="1">
        <f>IF(Q11="No Data","No Data",Q11/(9-IF(Q11&lt;9,VLOOKUP($A11,'Data Gaps'!$A:$Z,14,FALSE),0)))</f>
        <v>0.61111111111111116</v>
      </c>
      <c r="U11" s="32">
        <f t="shared" si="4"/>
        <v>80.648656898656895</v>
      </c>
    </row>
    <row r="12" spans="1:22" x14ac:dyDescent="0.35">
      <c r="A12" s="1" t="s">
        <v>64</v>
      </c>
      <c r="B12" s="28" t="s">
        <v>65</v>
      </c>
      <c r="C12" s="1" t="s">
        <v>38</v>
      </c>
      <c r="D12" s="1" t="s">
        <v>39</v>
      </c>
      <c r="E12" s="28" t="s">
        <v>40</v>
      </c>
      <c r="F12" s="28" t="s">
        <v>159</v>
      </c>
      <c r="G12" s="28" t="str">
        <f>VLOOKUP($A12,'EBA2017'!$A:$G,7,FALSE)</f>
        <v>One</v>
      </c>
      <c r="H12" s="32">
        <f>VLOOKUP($A12,Calculator!$A:$AZ,44,FALSE)</f>
        <v>0</v>
      </c>
      <c r="I12" s="28">
        <f t="shared" si="0"/>
        <v>1</v>
      </c>
      <c r="J12" s="32">
        <f>VLOOKUP($A12,Calculator!$A:$AZ,45,FALSE)</f>
        <v>0</v>
      </c>
      <c r="K12" s="28">
        <f t="shared" si="1"/>
        <v>1</v>
      </c>
      <c r="L12" s="42">
        <f>VLOOKUP($A12,Calculator!$A:$AZ,46,FALSE)</f>
        <v>0</v>
      </c>
      <c r="M12" s="43">
        <f t="shared" si="2"/>
        <v>1</v>
      </c>
      <c r="N12" s="42">
        <f t="shared" si="3"/>
        <v>1</v>
      </c>
      <c r="O12" s="32">
        <f>VLOOKUP($A12,Calculator!$A:$AZ,41,FALSE)</f>
        <v>8.8000000000000007</v>
      </c>
      <c r="P12" s="1">
        <f>VLOOKUP($A12,Calculator!$A:$AZ,42,FALSE)</f>
        <v>7</v>
      </c>
      <c r="Q12" s="1">
        <f>VLOOKUP($A12,Calculator!$A:$AZ,43,FALSE)</f>
        <v>6.5</v>
      </c>
      <c r="R12" s="32">
        <f>IF(5="No Data","No Data",O12/(13-IF(O12&lt;13,VLOOKUP($A12,'Data Gaps'!$A:$Z,12,FALSE),0)))</f>
        <v>0.67692307692307696</v>
      </c>
      <c r="S12" s="1">
        <f>IF(P12="No Data","No Data",P12/(8-IF(P12&lt;8,VLOOKUP($A12,'Data Gaps'!$A:$Z,13,FALSE),0)))</f>
        <v>0.875</v>
      </c>
      <c r="T12" s="1">
        <f>IF(Q12="No Data","No Data",Q12/(9-IF(Q12&lt;9,VLOOKUP($A12,'Data Gaps'!$A:$Z,14,FALSE),0)))</f>
        <v>0.72222222222222221</v>
      </c>
      <c r="U12" s="32">
        <f t="shared" si="4"/>
        <v>81.853632478632491</v>
      </c>
    </row>
    <row r="13" spans="1:22" x14ac:dyDescent="0.35">
      <c r="A13" s="1" t="s">
        <v>68</v>
      </c>
      <c r="B13" s="28" t="s">
        <v>69</v>
      </c>
      <c r="C13" s="1" t="s">
        <v>7</v>
      </c>
      <c r="D13" s="1" t="s">
        <v>8</v>
      </c>
      <c r="E13" s="28" t="s">
        <v>25</v>
      </c>
      <c r="F13" s="28" t="s">
        <v>162</v>
      </c>
      <c r="G13" s="28" t="str">
        <f>VLOOKUP($A13,'EBA2017'!$A:$G,7,FALSE)</f>
        <v>One</v>
      </c>
      <c r="H13" s="32">
        <f>VLOOKUP($A13,Calculator!$A:$AZ,44,FALSE)</f>
        <v>3</v>
      </c>
      <c r="I13" s="28">
        <f t="shared" si="0"/>
        <v>0.25</v>
      </c>
      <c r="J13" s="32">
        <f>VLOOKUP($A13,Calculator!$A:$AZ,45,FALSE)</f>
        <v>5</v>
      </c>
      <c r="K13" s="28">
        <f t="shared" si="1"/>
        <v>0.54545454545454541</v>
      </c>
      <c r="L13" s="42">
        <f>VLOOKUP($A13,Calculator!$A:$AZ,46,FALSE)</f>
        <v>0.59756616275652152</v>
      </c>
      <c r="M13" s="43">
        <f t="shared" si="2"/>
        <v>0.88588254367578023</v>
      </c>
      <c r="N13" s="42">
        <f t="shared" si="3"/>
        <v>0.56044569637677522</v>
      </c>
      <c r="O13" s="32">
        <f>VLOOKUP($A13,Calculator!$A:$AZ,41,FALSE)</f>
        <v>10.5</v>
      </c>
      <c r="P13" s="1">
        <f>VLOOKUP($A13,Calculator!$A:$AZ,42,FALSE)</f>
        <v>5.5</v>
      </c>
      <c r="Q13" s="1">
        <f>VLOOKUP($A13,Calculator!$A:$AZ,43,FALSE)</f>
        <v>7</v>
      </c>
      <c r="R13" s="32">
        <f>IF(5="No Data","No Data",O13/(13-IF(O13&lt;13,VLOOKUP($A13,'Data Gaps'!$A:$Z,12,FALSE),0)))</f>
        <v>0.80769230769230771</v>
      </c>
      <c r="S13" s="1">
        <f>IF(P13="No Data","No Data",P13/(8-IF(P13&lt;8,VLOOKUP($A13,'Data Gaps'!$A:$Z,13,FALSE),0)))</f>
        <v>0.6875</v>
      </c>
      <c r="T13" s="1">
        <f>IF(Q13="No Data","No Data",Q13/(9-IF(Q13&lt;9,VLOOKUP($A13,'Data Gaps'!$A:$Z,14,FALSE),0)))</f>
        <v>0.77777777777777779</v>
      </c>
      <c r="U13" s="32">
        <f t="shared" si="4"/>
        <v>70.835394546171514</v>
      </c>
    </row>
    <row r="14" spans="1:22" x14ac:dyDescent="0.35">
      <c r="A14" s="1" t="s">
        <v>74</v>
      </c>
      <c r="B14" s="28" t="s">
        <v>75</v>
      </c>
      <c r="C14" s="1" t="s">
        <v>7</v>
      </c>
      <c r="D14" s="1" t="s">
        <v>8</v>
      </c>
      <c r="E14" s="28" t="s">
        <v>9</v>
      </c>
      <c r="F14" s="28" t="s">
        <v>161</v>
      </c>
      <c r="G14" s="28" t="str">
        <f>VLOOKUP($A14,'EBA2017'!$A:$G,7,FALSE)</f>
        <v>One</v>
      </c>
      <c r="H14" s="32">
        <f>VLOOKUP($A14,Calculator!$A:$AZ,44,FALSE)</f>
        <v>1</v>
      </c>
      <c r="I14" s="28">
        <f t="shared" si="0"/>
        <v>0.75</v>
      </c>
      <c r="J14" s="32">
        <f>VLOOKUP($A14,Calculator!$A:$AZ,45,FALSE)</f>
        <v>1</v>
      </c>
      <c r="K14" s="28">
        <f t="shared" si="1"/>
        <v>0.90909090909090906</v>
      </c>
      <c r="L14" s="42">
        <f>VLOOKUP($A14,Calculator!$A:$AZ,46,FALSE)</f>
        <v>0.72386443130463274</v>
      </c>
      <c r="M14" s="43">
        <f t="shared" si="2"/>
        <v>0.86176331129090344</v>
      </c>
      <c r="N14" s="42">
        <f t="shared" si="3"/>
        <v>0.84028474012727095</v>
      </c>
      <c r="O14" s="32">
        <f>VLOOKUP($A14,Calculator!$A:$AZ,41,FALSE)</f>
        <v>8.5</v>
      </c>
      <c r="P14" s="1">
        <f>VLOOKUP($A14,Calculator!$A:$AZ,42,FALSE)</f>
        <v>5.5</v>
      </c>
      <c r="Q14" s="1">
        <f>VLOOKUP($A14,Calculator!$A:$AZ,43,FALSE)</f>
        <v>6.5</v>
      </c>
      <c r="R14" s="32">
        <f>IF(5="No Data","No Data",O14/(13-IF(O14&lt;13,VLOOKUP($A14,'Data Gaps'!$A:$Z,12,FALSE),0)))</f>
        <v>0.65384615384615385</v>
      </c>
      <c r="S14" s="1">
        <f>IF(P14="No Data","No Data",P14/(8-IF(P14&lt;8,VLOOKUP($A14,'Data Gaps'!$A:$Z,13,FALSE),0)))</f>
        <v>0.6875</v>
      </c>
      <c r="T14" s="1">
        <f>IF(Q14="No Data","No Data",Q14/(9-IF(Q14&lt;9,VLOOKUP($A14,'Data Gaps'!$A:$Z,14,FALSE),0)))</f>
        <v>0.72222222222222221</v>
      </c>
      <c r="U14" s="32">
        <f t="shared" si="4"/>
        <v>72.596327904891183</v>
      </c>
    </row>
    <row r="15" spans="1:22" x14ac:dyDescent="0.35">
      <c r="A15" s="1" t="s">
        <v>72</v>
      </c>
      <c r="B15" s="28" t="s">
        <v>73</v>
      </c>
      <c r="C15" s="1" t="s">
        <v>38</v>
      </c>
      <c r="D15" s="1" t="s">
        <v>39</v>
      </c>
      <c r="E15" s="28" t="s">
        <v>40</v>
      </c>
      <c r="F15" s="28" t="s">
        <v>161</v>
      </c>
      <c r="G15" s="28" t="str">
        <f>VLOOKUP($A15,'EBA2017'!$A:$G,7,FALSE)</f>
        <v>One</v>
      </c>
      <c r="H15" s="32">
        <f>VLOOKUP($A15,Calculator!$A:$AZ,44,FALSE)</f>
        <v>1</v>
      </c>
      <c r="I15" s="28">
        <f t="shared" si="0"/>
        <v>0.75</v>
      </c>
      <c r="J15" s="32">
        <f>VLOOKUP($A15,Calculator!$A:$AZ,45,FALSE)</f>
        <v>2</v>
      </c>
      <c r="K15" s="28">
        <f t="shared" si="1"/>
        <v>0.81818181818181823</v>
      </c>
      <c r="L15" s="42">
        <f>VLOOKUP($A15,Calculator!$A:$AZ,46,FALSE)</f>
        <v>0</v>
      </c>
      <c r="M15" s="43">
        <f t="shared" si="2"/>
        <v>1</v>
      </c>
      <c r="N15" s="42">
        <f t="shared" si="3"/>
        <v>0.85606060606060608</v>
      </c>
      <c r="O15" s="32">
        <f>VLOOKUP($A15,Calculator!$A:$AZ,41,FALSE)</f>
        <v>7.9</v>
      </c>
      <c r="P15" s="1">
        <f>VLOOKUP($A15,Calculator!$A:$AZ,42,FALSE)</f>
        <v>5.75</v>
      </c>
      <c r="Q15" s="1">
        <f>VLOOKUP($A15,Calculator!$A:$AZ,43,FALSE)</f>
        <v>7.5</v>
      </c>
      <c r="R15" s="32">
        <f>IF(5="No Data","No Data",O15/(13-IF(O15&lt;13,VLOOKUP($A15,'Data Gaps'!$A:$Z,12,FALSE),0)))</f>
        <v>0.60769230769230775</v>
      </c>
      <c r="S15" s="1">
        <f>IF(P15="No Data","No Data",P15/(8-IF(P15&lt;8,VLOOKUP($A15,'Data Gaps'!$A:$Z,13,FALSE),0)))</f>
        <v>0.71875</v>
      </c>
      <c r="T15" s="1">
        <f>IF(Q15="No Data","No Data",Q15/(9-IF(Q15&lt;9,VLOOKUP($A15,'Data Gaps'!$A:$Z,14,FALSE),0)))</f>
        <v>0.83333333333333337</v>
      </c>
      <c r="U15" s="32">
        <f t="shared" si="4"/>
        <v>75.395906177156178</v>
      </c>
    </row>
    <row r="16" spans="1:22" x14ac:dyDescent="0.35">
      <c r="A16" s="1" t="s">
        <v>78</v>
      </c>
      <c r="B16" s="28" t="s">
        <v>79</v>
      </c>
      <c r="C16" s="1" t="s">
        <v>16</v>
      </c>
      <c r="D16" s="1" t="s">
        <v>17</v>
      </c>
      <c r="E16" s="28" t="s">
        <v>18</v>
      </c>
      <c r="F16" s="28" t="s">
        <v>160</v>
      </c>
      <c r="G16" s="28" t="str">
        <f>VLOOKUP($A16,'EBA2017'!$A:$G,7,FALSE)</f>
        <v>One</v>
      </c>
      <c r="H16" s="32">
        <f>VLOOKUP($A16,Calculator!$A:$AZ,44,FALSE)</f>
        <v>4</v>
      </c>
      <c r="I16" s="28">
        <f t="shared" si="0"/>
        <v>0</v>
      </c>
      <c r="J16" s="32">
        <f>VLOOKUP($A16,Calculator!$A:$AZ,45,FALSE)</f>
        <v>7</v>
      </c>
      <c r="K16" s="28">
        <f t="shared" si="1"/>
        <v>0.36363636363636365</v>
      </c>
      <c r="L16" s="42" t="str">
        <f>VLOOKUP($A16,Calculator!$A:$AZ,46,FALSE)</f>
        <v>No data</v>
      </c>
      <c r="M16" s="43" t="str">
        <f t="shared" si="2"/>
        <v>No data</v>
      </c>
      <c r="N16" s="42">
        <f t="shared" si="3"/>
        <v>0.18181818181818182</v>
      </c>
      <c r="O16" s="32">
        <f>VLOOKUP($A16,Calculator!$A:$AZ,41,FALSE)</f>
        <v>5.4</v>
      </c>
      <c r="P16" s="1">
        <f>VLOOKUP($A16,Calculator!$A:$AZ,42,FALSE)</f>
        <v>0</v>
      </c>
      <c r="Q16" s="1">
        <f>VLOOKUP($A16,Calculator!$A:$AZ,43,FALSE)</f>
        <v>2</v>
      </c>
      <c r="R16" s="32">
        <f>IF(5="No Data","No Data",O16/(13-IF(O16&lt;13,VLOOKUP($A16,'Data Gaps'!$A:$Z,12,FALSE),0)))</f>
        <v>0.41538461538461541</v>
      </c>
      <c r="S16" s="1">
        <f>IF(P16="No Data","No Data",P16/(8-IF(P16&lt;8,VLOOKUP($A16,'Data Gaps'!$A:$Z,13,FALSE),0)))</f>
        <v>0</v>
      </c>
      <c r="T16" s="1">
        <f>IF(Q16="No Data","No Data",Q16/(9-IF(Q16&lt;9,VLOOKUP($A16,'Data Gaps'!$A:$Z,14,FALSE),0)))</f>
        <v>0.22222222222222221</v>
      </c>
      <c r="U16" s="32">
        <f t="shared" si="4"/>
        <v>20.485625485625487</v>
      </c>
    </row>
    <row r="17" spans="1:21" x14ac:dyDescent="0.35">
      <c r="A17" s="1" t="s">
        <v>84</v>
      </c>
      <c r="B17" s="28" t="s">
        <v>85</v>
      </c>
      <c r="C17" s="1" t="s">
        <v>16</v>
      </c>
      <c r="D17" s="1" t="s">
        <v>17</v>
      </c>
      <c r="E17" s="28" t="s">
        <v>18</v>
      </c>
      <c r="F17" s="28" t="s">
        <v>159</v>
      </c>
      <c r="G17" s="28" t="str">
        <f>VLOOKUP($A17,'EBA2017'!$A:$G,7,FALSE)</f>
        <v>One</v>
      </c>
      <c r="H17" s="32">
        <f>VLOOKUP($A17,Calculator!$A:$AZ,44,FALSE)</f>
        <v>1</v>
      </c>
      <c r="I17" s="28">
        <f t="shared" si="0"/>
        <v>0.75</v>
      </c>
      <c r="J17" s="32">
        <f>VLOOKUP($A17,Calculator!$A:$AZ,45,FALSE)</f>
        <v>2</v>
      </c>
      <c r="K17" s="28">
        <f t="shared" si="1"/>
        <v>0.81818181818181823</v>
      </c>
      <c r="L17" s="42">
        <f>VLOOKUP($A17,Calculator!$A:$AZ,46,FALSE)</f>
        <v>4.1076166333377611</v>
      </c>
      <c r="M17" s="43">
        <f t="shared" si="2"/>
        <v>0.21556675901919656</v>
      </c>
      <c r="N17" s="42">
        <f t="shared" si="3"/>
        <v>0.59458285906700492</v>
      </c>
      <c r="O17" s="32">
        <f>VLOOKUP($A17,Calculator!$A:$AZ,41,FALSE)</f>
        <v>8</v>
      </c>
      <c r="P17" s="1">
        <f>VLOOKUP($A17,Calculator!$A:$AZ,42,FALSE)</f>
        <v>2</v>
      </c>
      <c r="Q17" s="1">
        <f>VLOOKUP($A17,Calculator!$A:$AZ,43,FALSE)</f>
        <v>5.5</v>
      </c>
      <c r="R17" s="32">
        <f>IF(5="No Data","No Data",O17/(13-IF(O17&lt;13,VLOOKUP($A17,'Data Gaps'!$A:$Z,12,FALSE),0)))</f>
        <v>0.61538461538461542</v>
      </c>
      <c r="S17" s="1">
        <f>IF(P17="No Data","No Data",P17/(8-IF(P17&lt;8,VLOOKUP($A17,'Data Gaps'!$A:$Z,13,FALSE),0)))</f>
        <v>0.25</v>
      </c>
      <c r="T17" s="1">
        <f>IF(Q17="No Data","No Data",Q17/(9-IF(Q17&lt;9,VLOOKUP($A17,'Data Gaps'!$A:$Z,14,FALSE),0)))</f>
        <v>0.61111111111111116</v>
      </c>
      <c r="U17" s="32">
        <f t="shared" si="4"/>
        <v>51.776964639068289</v>
      </c>
    </row>
    <row r="18" spans="1:21" x14ac:dyDescent="0.35">
      <c r="A18" s="1" t="s">
        <v>96</v>
      </c>
      <c r="B18" s="28" t="s">
        <v>97</v>
      </c>
      <c r="C18" s="1" t="s">
        <v>38</v>
      </c>
      <c r="D18" s="1" t="s">
        <v>39</v>
      </c>
      <c r="E18" s="28" t="s">
        <v>40</v>
      </c>
      <c r="F18" s="28" t="s">
        <v>161</v>
      </c>
      <c r="G18" s="28" t="str">
        <f>VLOOKUP($A18,'EBA2017'!$A:$G,7,FALSE)</f>
        <v>One</v>
      </c>
      <c r="H18" s="32">
        <f>VLOOKUP($A18,Calculator!$A:$AZ,44,FALSE)</f>
        <v>0</v>
      </c>
      <c r="I18" s="28">
        <f t="shared" si="0"/>
        <v>1</v>
      </c>
      <c r="J18" s="32">
        <f>VLOOKUP($A18,Calculator!$A:$AZ,45,FALSE)</f>
        <v>0</v>
      </c>
      <c r="K18" s="28">
        <f t="shared" si="1"/>
        <v>1</v>
      </c>
      <c r="L18" s="42">
        <f>VLOOKUP($A18,Calculator!$A:$AZ,46,FALSE)</f>
        <v>0</v>
      </c>
      <c r="M18" s="43">
        <f t="shared" si="2"/>
        <v>1</v>
      </c>
      <c r="N18" s="42">
        <f t="shared" si="3"/>
        <v>1</v>
      </c>
      <c r="O18" s="32">
        <f>VLOOKUP($A18,Calculator!$A:$AZ,41,FALSE)</f>
        <v>8</v>
      </c>
      <c r="P18" s="1">
        <f>VLOOKUP($A18,Calculator!$A:$AZ,42,FALSE)</f>
        <v>8</v>
      </c>
      <c r="Q18" s="1">
        <f>VLOOKUP($A18,Calculator!$A:$AZ,43,FALSE)</f>
        <v>8</v>
      </c>
      <c r="R18" s="32">
        <f>IF(5="No Data","No Data",O18/(13-IF(O18&lt;13,VLOOKUP($A18,'Data Gaps'!$A:$Z,12,FALSE),0)))</f>
        <v>0.61538461538461542</v>
      </c>
      <c r="S18" s="1">
        <f>IF(P18="No Data","No Data",P18/(8-IF(P18&lt;8,VLOOKUP($A18,'Data Gaps'!$A:$Z,13,FALSE),0)))</f>
        <v>1</v>
      </c>
      <c r="T18" s="1">
        <f>IF(Q18="No Data","No Data",Q18/(9-IF(Q18&lt;9,VLOOKUP($A18,'Data Gaps'!$A:$Z,14,FALSE),0)))</f>
        <v>0.88888888888888884</v>
      </c>
      <c r="U18" s="32">
        <f t="shared" si="4"/>
        <v>87.606837606837601</v>
      </c>
    </row>
    <row r="19" spans="1:21" x14ac:dyDescent="0.35">
      <c r="A19" s="1" t="s">
        <v>94</v>
      </c>
      <c r="B19" s="28" t="s">
        <v>95</v>
      </c>
      <c r="C19" s="1" t="s">
        <v>12</v>
      </c>
      <c r="D19" s="1" t="s">
        <v>13</v>
      </c>
      <c r="E19" s="28" t="s">
        <v>18</v>
      </c>
      <c r="F19" s="28" t="s">
        <v>160</v>
      </c>
      <c r="G19" s="28" t="str">
        <f>VLOOKUP($A19,'EBA2017'!$A:$G,7,FALSE)</f>
        <v>One</v>
      </c>
      <c r="H19" s="32">
        <f>VLOOKUP($A19,Calculator!$A:$AZ,44,FALSE)</f>
        <v>2</v>
      </c>
      <c r="I19" s="28">
        <f t="shared" si="0"/>
        <v>0.5</v>
      </c>
      <c r="J19" s="32">
        <f>VLOOKUP($A19,Calculator!$A:$AZ,45,FALSE)</f>
        <v>2</v>
      </c>
      <c r="K19" s="28">
        <f t="shared" si="1"/>
        <v>0.81818181818181823</v>
      </c>
      <c r="L19" s="42">
        <f>VLOOKUP($A19,Calculator!$A:$AZ,46,FALSE)</f>
        <v>0.66651220037249193</v>
      </c>
      <c r="M19" s="43">
        <f t="shared" si="2"/>
        <v>0.87271589046356635</v>
      </c>
      <c r="N19" s="42">
        <f t="shared" si="3"/>
        <v>0.73029923621512827</v>
      </c>
      <c r="O19" s="32">
        <f>VLOOKUP($A19,Calculator!$A:$AZ,41,FALSE)</f>
        <v>6.85</v>
      </c>
      <c r="P19" s="1">
        <f>VLOOKUP($A19,Calculator!$A:$AZ,42,FALSE)</f>
        <v>4</v>
      </c>
      <c r="Q19" s="1">
        <f>VLOOKUP($A19,Calculator!$A:$AZ,43,FALSE)</f>
        <v>6</v>
      </c>
      <c r="R19" s="32">
        <f>IF(5="No Data","No Data",O19/(13-IF(O19&lt;13,VLOOKUP($A19,'Data Gaps'!$A:$Z,12,FALSE),0)))</f>
        <v>0.52692307692307694</v>
      </c>
      <c r="S19" s="1">
        <f>IF(P19="No Data","No Data",P19/(8-IF(P19&lt;8,VLOOKUP($A19,'Data Gaps'!$A:$Z,13,FALSE),0)))</f>
        <v>0.5</v>
      </c>
      <c r="T19" s="1">
        <f>IF(Q19="No Data","No Data",Q19/(9-IF(Q19&lt;9,VLOOKUP($A19,'Data Gaps'!$A:$Z,14,FALSE),0)))</f>
        <v>0.66666666666666663</v>
      </c>
      <c r="U19" s="32">
        <f t="shared" si="4"/>
        <v>60.597224495121793</v>
      </c>
    </row>
    <row r="20" spans="1:21" x14ac:dyDescent="0.35">
      <c r="A20" s="1" t="s">
        <v>104</v>
      </c>
      <c r="B20" s="28" t="s">
        <v>105</v>
      </c>
      <c r="C20" s="1" t="s">
        <v>21</v>
      </c>
      <c r="D20" s="1" t="s">
        <v>22</v>
      </c>
      <c r="E20" s="29" t="s">
        <v>25</v>
      </c>
      <c r="F20" s="28" t="s">
        <v>160</v>
      </c>
      <c r="G20" s="28" t="str">
        <f>VLOOKUP($A20,'EBA2017'!$A:$G,7,FALSE)</f>
        <v>One</v>
      </c>
      <c r="H20" s="32">
        <f>VLOOKUP($A20,Calculator!$A:$AZ,44,FALSE)</f>
        <v>2</v>
      </c>
      <c r="I20" s="28">
        <f t="shared" si="0"/>
        <v>0.5</v>
      </c>
      <c r="J20" s="32">
        <f>VLOOKUP($A20,Calculator!$A:$AZ,45,FALSE)</f>
        <v>11</v>
      </c>
      <c r="K20" s="28">
        <f t="shared" si="1"/>
        <v>0</v>
      </c>
      <c r="L20" s="42">
        <f>VLOOKUP($A20,Calculator!$A:$AZ,46,FALSE)</f>
        <v>0.69350935350720011</v>
      </c>
      <c r="M20" s="43">
        <f t="shared" si="2"/>
        <v>0.86756023300545881</v>
      </c>
      <c r="N20" s="42">
        <f t="shared" si="3"/>
        <v>0.45585341100181959</v>
      </c>
      <c r="O20" s="32">
        <f>VLOOKUP($A20,Calculator!$A:$AZ,41,FALSE)</f>
        <v>9.15</v>
      </c>
      <c r="P20" s="1">
        <f>VLOOKUP($A20,Calculator!$A:$AZ,42,FALSE)</f>
        <v>5</v>
      </c>
      <c r="Q20" s="1">
        <f>VLOOKUP($A20,Calculator!$A:$AZ,43,FALSE)</f>
        <v>6</v>
      </c>
      <c r="R20" s="32">
        <f>IF(5="No Data","No Data",O20/(13-IF(O20&lt;13,VLOOKUP($A20,'Data Gaps'!$A:$Z,12,FALSE),0)))</f>
        <v>0.7038461538461539</v>
      </c>
      <c r="S20" s="1">
        <f>IF(P20="No Data","No Data",P20/(8-IF(P20&lt;8,VLOOKUP($A20,'Data Gaps'!$A:$Z,13,FALSE),0)))</f>
        <v>0.625</v>
      </c>
      <c r="T20" s="1">
        <f>IF(Q20="No Data","No Data",Q20/(9-IF(Q20&lt;9,VLOOKUP($A20,'Data Gaps'!$A:$Z,14,FALSE),0)))</f>
        <v>0.66666666666666663</v>
      </c>
      <c r="U20" s="32">
        <f t="shared" si="4"/>
        <v>61.284155787865998</v>
      </c>
    </row>
    <row r="21" spans="1:21" x14ac:dyDescent="0.35">
      <c r="A21" s="1" t="s">
        <v>108</v>
      </c>
      <c r="B21" s="28" t="s">
        <v>109</v>
      </c>
      <c r="C21" s="1" t="s">
        <v>38</v>
      </c>
      <c r="D21" s="1" t="s">
        <v>39</v>
      </c>
      <c r="E21" s="29" t="s">
        <v>40</v>
      </c>
      <c r="F21" s="28" t="s">
        <v>162</v>
      </c>
      <c r="G21" s="28" t="str">
        <f>VLOOKUP($A21,'EBA2017'!$A:$G,7,FALSE)</f>
        <v>One</v>
      </c>
      <c r="H21" s="32">
        <f>VLOOKUP($A21,Calculator!$A:$AZ,44,FALSE)</f>
        <v>0</v>
      </c>
      <c r="I21" s="28">
        <f t="shared" si="0"/>
        <v>1</v>
      </c>
      <c r="J21" s="32">
        <f>VLOOKUP($A21,Calculator!$A:$AZ,45,FALSE)</f>
        <v>0</v>
      </c>
      <c r="K21" s="28">
        <f t="shared" si="1"/>
        <v>1</v>
      </c>
      <c r="L21" s="42">
        <f>VLOOKUP($A21,Calculator!$A:$AZ,46,FALSE)</f>
        <v>0</v>
      </c>
      <c r="M21" s="43">
        <f t="shared" si="2"/>
        <v>1</v>
      </c>
      <c r="N21" s="42">
        <f t="shared" si="3"/>
        <v>1</v>
      </c>
      <c r="O21" s="32">
        <f>VLOOKUP($A21,Calculator!$A:$AZ,41,FALSE)</f>
        <v>8.8000000000000007</v>
      </c>
      <c r="P21" s="1">
        <f>VLOOKUP($A21,Calculator!$A:$AZ,42,FALSE)</f>
        <v>7.75</v>
      </c>
      <c r="Q21" s="1">
        <f>VLOOKUP($A21,Calculator!$A:$AZ,43,FALSE)</f>
        <v>4.5</v>
      </c>
      <c r="R21" s="32">
        <f>IF(5="No Data","No Data",O21/(13-IF(O21&lt;13,VLOOKUP($A21,'Data Gaps'!$A:$Z,12,FALSE),0)))</f>
        <v>0.67692307692307696</v>
      </c>
      <c r="S21" s="1">
        <f>IF(P21="No Data","No Data",P21/(8-IF(P21&lt;8,VLOOKUP($A21,'Data Gaps'!$A:$Z,13,FALSE),0)))</f>
        <v>0.96875</v>
      </c>
      <c r="T21" s="1">
        <f>IF(Q21="No Data","No Data",Q21/(9-IF(Q21&lt;9,VLOOKUP($A21,'Data Gaps'!$A:$Z,14,FALSE),0)))</f>
        <v>0.5</v>
      </c>
      <c r="U21" s="32">
        <f t="shared" si="4"/>
        <v>78.641826923076934</v>
      </c>
    </row>
    <row r="22" spans="1:21" x14ac:dyDescent="0.35">
      <c r="A22" s="1" t="s">
        <v>110</v>
      </c>
      <c r="B22" s="28" t="s">
        <v>111</v>
      </c>
      <c r="C22" s="1" t="s">
        <v>7</v>
      </c>
      <c r="D22" s="1" t="s">
        <v>8</v>
      </c>
      <c r="E22" s="29" t="s">
        <v>25</v>
      </c>
      <c r="F22" s="28" t="s">
        <v>162</v>
      </c>
      <c r="G22" s="28" t="str">
        <f>VLOOKUP($A22,'EBA2017'!$A:$G,7,FALSE)</f>
        <v>One</v>
      </c>
      <c r="H22" s="32">
        <f>VLOOKUP($A22,Calculator!$A:$AZ,44,FALSE)</f>
        <v>0</v>
      </c>
      <c r="I22" s="28">
        <f t="shared" si="0"/>
        <v>1</v>
      </c>
      <c r="J22" s="32">
        <f>VLOOKUP($A22,Calculator!$A:$AZ,45,FALSE)</f>
        <v>0</v>
      </c>
      <c r="K22" s="28">
        <f t="shared" si="1"/>
        <v>1</v>
      </c>
      <c r="L22" s="42">
        <f>VLOOKUP($A22,Calculator!$A:$AZ,46,FALSE)</f>
        <v>0</v>
      </c>
      <c r="M22" s="43">
        <f t="shared" si="2"/>
        <v>1</v>
      </c>
      <c r="N22" s="42">
        <f t="shared" si="3"/>
        <v>1</v>
      </c>
      <c r="O22" s="32">
        <f>VLOOKUP($A22,Calculator!$A:$AZ,41,FALSE)</f>
        <v>7.3</v>
      </c>
      <c r="P22" s="1">
        <f>VLOOKUP($A22,Calculator!$A:$AZ,42,FALSE)</f>
        <v>6.5</v>
      </c>
      <c r="Q22" s="1">
        <f>VLOOKUP($A22,Calculator!$A:$AZ,43,FALSE)</f>
        <v>5</v>
      </c>
      <c r="R22" s="32">
        <f>IF(5="No Data","No Data",O22/(13-IF(O22&lt;13,VLOOKUP($A22,'Data Gaps'!$A:$Z,12,FALSE),0)))</f>
        <v>0.56153846153846154</v>
      </c>
      <c r="S22" s="1">
        <f>IF(P22="No Data","No Data",P22/(8-IF(P22&lt;8,VLOOKUP($A22,'Data Gaps'!$A:$Z,13,FALSE),0)))</f>
        <v>0.8125</v>
      </c>
      <c r="T22" s="1">
        <f>IF(Q22="No Data","No Data",Q22/(9-IF(Q22&lt;9,VLOOKUP($A22,'Data Gaps'!$A:$Z,14,FALSE),0)))</f>
        <v>0.55555555555555558</v>
      </c>
      <c r="U22" s="32">
        <f t="shared" si="4"/>
        <v>73.239850427350419</v>
      </c>
    </row>
    <row r="23" spans="1:21" x14ac:dyDescent="0.35">
      <c r="A23" s="1" t="s">
        <v>112</v>
      </c>
      <c r="B23" s="28" t="s">
        <v>113</v>
      </c>
      <c r="C23" s="1" t="s">
        <v>7</v>
      </c>
      <c r="D23" s="1" t="s">
        <v>8</v>
      </c>
      <c r="E23" s="29" t="s">
        <v>25</v>
      </c>
      <c r="F23" s="28" t="s">
        <v>162</v>
      </c>
      <c r="G23" s="28" t="str">
        <f>VLOOKUP($A23,'EBA2017'!$A:$G,7,FALSE)</f>
        <v>One</v>
      </c>
      <c r="H23" s="32">
        <f>VLOOKUP($A23,Calculator!$A:$AZ,44,FALSE)</f>
        <v>4</v>
      </c>
      <c r="I23" s="28">
        <f t="shared" si="0"/>
        <v>0</v>
      </c>
      <c r="J23" s="32">
        <f>VLOOKUP($A23,Calculator!$A:$AZ,45,FALSE)</f>
        <v>4</v>
      </c>
      <c r="K23" s="28">
        <f t="shared" si="1"/>
        <v>0.63636363636363635</v>
      </c>
      <c r="L23" s="42">
        <f>VLOOKUP($A23,Calculator!$A:$AZ,46,FALSE)</f>
        <v>0.17727038307042275</v>
      </c>
      <c r="M23" s="43">
        <f t="shared" si="2"/>
        <v>0.96614660190212409</v>
      </c>
      <c r="N23" s="42">
        <f t="shared" si="3"/>
        <v>0.53417007942192019</v>
      </c>
      <c r="O23" s="32">
        <f>VLOOKUP($A23,Calculator!$A:$AZ,41,FALSE)</f>
        <v>7.8</v>
      </c>
      <c r="P23" s="1">
        <f>VLOOKUP($A23,Calculator!$A:$AZ,42,FALSE)</f>
        <v>6.5</v>
      </c>
      <c r="Q23" s="1">
        <f>VLOOKUP($A23,Calculator!$A:$AZ,43,FALSE)</f>
        <v>7</v>
      </c>
      <c r="R23" s="32">
        <f>IF(5="No Data","No Data",O23/(13-IF(O23&lt;13,VLOOKUP($A23,'Data Gaps'!$A:$Z,12,FALSE),0)))</f>
        <v>0.6</v>
      </c>
      <c r="S23" s="1">
        <f>IF(P23="No Data","No Data",P23/(8-IF(P23&lt;8,VLOOKUP($A23,'Data Gaps'!$A:$Z,13,FALSE),0)))</f>
        <v>0.8125</v>
      </c>
      <c r="T23" s="1">
        <f>IF(Q23="No Data","No Data",Q23/(9-IF(Q23&lt;9,VLOOKUP($A23,'Data Gaps'!$A:$Z,14,FALSE),0)))</f>
        <v>0.77777777777777779</v>
      </c>
      <c r="U23" s="32">
        <f t="shared" si="4"/>
        <v>68.111196429992447</v>
      </c>
    </row>
    <row r="24" spans="1:21" x14ac:dyDescent="0.35">
      <c r="A24" s="1" t="s">
        <v>114</v>
      </c>
      <c r="B24" s="28" t="s">
        <v>115</v>
      </c>
      <c r="C24" s="1" t="s">
        <v>16</v>
      </c>
      <c r="D24" s="1" t="s">
        <v>17</v>
      </c>
      <c r="E24" s="29" t="s">
        <v>18</v>
      </c>
      <c r="F24" s="28" t="s">
        <v>160</v>
      </c>
      <c r="G24" s="28" t="str">
        <f>VLOOKUP($A24,'EBA2017'!$A:$G,7,FALSE)</f>
        <v>One</v>
      </c>
      <c r="H24" s="32">
        <f>VLOOKUP($A24,Calculator!$A:$AZ,44,FALSE)</f>
        <v>1</v>
      </c>
      <c r="I24" s="28">
        <f t="shared" si="0"/>
        <v>0.75</v>
      </c>
      <c r="J24" s="32">
        <f>VLOOKUP($A24,Calculator!$A:$AZ,45,FALSE)</f>
        <v>1</v>
      </c>
      <c r="K24" s="28">
        <f t="shared" si="1"/>
        <v>0.90909090909090906</v>
      </c>
      <c r="L24" s="42">
        <f>VLOOKUP($A24,Calculator!$A:$AZ,46,FALSE)</f>
        <v>4.0451640079128652E-2</v>
      </c>
      <c r="M24" s="43">
        <f t="shared" si="2"/>
        <v>0.99227493362629726</v>
      </c>
      <c r="N24" s="42">
        <f t="shared" si="3"/>
        <v>0.88378861423906885</v>
      </c>
      <c r="O24" s="32">
        <f>VLOOKUP($A24,Calculator!$A:$AZ,41,FALSE)</f>
        <v>9</v>
      </c>
      <c r="P24" s="1">
        <f>VLOOKUP($A24,Calculator!$A:$AZ,42,FALSE)</f>
        <v>0.5</v>
      </c>
      <c r="Q24" s="1">
        <f>VLOOKUP($A24,Calculator!$A:$AZ,43,FALSE)</f>
        <v>3</v>
      </c>
      <c r="R24" s="32">
        <f>IF(5="No Data","No Data",O24/(13-IF(O24&lt;13,VLOOKUP($A24,'Data Gaps'!$A:$Z,12,FALSE),0)))</f>
        <v>0.69230769230769229</v>
      </c>
      <c r="S24" s="1">
        <f>IF(P24="No Data","No Data",P24/(8-IF(P24&lt;8,VLOOKUP($A24,'Data Gaps'!$A:$Z,13,FALSE),0)))</f>
        <v>6.25E-2</v>
      </c>
      <c r="T24" s="1">
        <f>IF(Q24="No Data","No Data",Q24/(9-IF(Q24&lt;9,VLOOKUP($A24,'Data Gaps'!$A:$Z,14,FALSE),0)))</f>
        <v>0.33333333333333331</v>
      </c>
      <c r="U24" s="32">
        <f t="shared" si="4"/>
        <v>49.29824099700236</v>
      </c>
    </row>
    <row r="25" spans="1:21" x14ac:dyDescent="0.35">
      <c r="A25" s="1" t="s">
        <v>116</v>
      </c>
      <c r="B25" s="28" t="s">
        <v>117</v>
      </c>
      <c r="C25" s="1" t="s">
        <v>16</v>
      </c>
      <c r="D25" s="1" t="s">
        <v>17</v>
      </c>
      <c r="E25" s="29" t="s">
        <v>18</v>
      </c>
      <c r="F25" s="28" t="s">
        <v>162</v>
      </c>
      <c r="G25" s="28" t="str">
        <f>VLOOKUP($A25,'EBA2017'!$A:$G,7,FALSE)</f>
        <v>One</v>
      </c>
      <c r="H25" s="32">
        <f>VLOOKUP($A25,Calculator!$A:$AZ,44,FALSE)</f>
        <v>2</v>
      </c>
      <c r="I25" s="28">
        <f t="shared" si="0"/>
        <v>0.5</v>
      </c>
      <c r="J25" s="32">
        <f>VLOOKUP($A25,Calculator!$A:$AZ,45,FALSE)</f>
        <v>3</v>
      </c>
      <c r="K25" s="28">
        <f t="shared" si="1"/>
        <v>0.72727272727272729</v>
      </c>
      <c r="L25" s="42">
        <f>VLOOKUP($A25,Calculator!$A:$AZ,46,FALSE)</f>
        <v>3.7684939640683495</v>
      </c>
      <c r="M25" s="43">
        <f t="shared" si="2"/>
        <v>0.28032915490250082</v>
      </c>
      <c r="N25" s="42">
        <f t="shared" si="3"/>
        <v>0.50253396072507606</v>
      </c>
      <c r="O25" s="32">
        <f>VLOOKUP($A25,Calculator!$A:$AZ,41,FALSE)</f>
        <v>7.8</v>
      </c>
      <c r="P25" s="1">
        <f>VLOOKUP($A25,Calculator!$A:$AZ,42,FALSE)</f>
        <v>3.5</v>
      </c>
      <c r="Q25" s="1">
        <f>VLOOKUP($A25,Calculator!$A:$AZ,43,FALSE)</f>
        <v>4</v>
      </c>
      <c r="R25" s="32">
        <f>IF(5="No Data","No Data",O25/(13-IF(O25&lt;13,VLOOKUP($A25,'Data Gaps'!$A:$Z,12,FALSE),0)))</f>
        <v>0.6</v>
      </c>
      <c r="S25" s="1">
        <f>IF(P25="No Data","No Data",P25/(8-IF(P25&lt;8,VLOOKUP($A25,'Data Gaps'!$A:$Z,13,FALSE),0)))</f>
        <v>0.58333333333333337</v>
      </c>
      <c r="T25" s="1">
        <f>IF(Q25="No Data","No Data",Q25/(9-IF(Q25&lt;9,VLOOKUP($A25,'Data Gaps'!$A:$Z,14,FALSE),0)))</f>
        <v>0.5</v>
      </c>
      <c r="U25" s="32">
        <f t="shared" si="4"/>
        <v>54.646682351460242</v>
      </c>
    </row>
    <row r="26" spans="1:21" x14ac:dyDescent="0.35">
      <c r="A26" s="1" t="s">
        <v>118</v>
      </c>
      <c r="B26" s="28" t="s">
        <v>119</v>
      </c>
      <c r="C26" s="1" t="s">
        <v>7</v>
      </c>
      <c r="D26" s="1" t="s">
        <v>8</v>
      </c>
      <c r="E26" s="29" t="s">
        <v>25</v>
      </c>
      <c r="F26" s="28" t="s">
        <v>162</v>
      </c>
      <c r="G26" s="28" t="str">
        <f>VLOOKUP($A26,'EBA2017'!$A:$G,7,FALSE)</f>
        <v>One</v>
      </c>
      <c r="H26" s="32">
        <f>VLOOKUP($A26,Calculator!$A:$AZ,44,FALSE)</f>
        <v>1</v>
      </c>
      <c r="I26" s="28">
        <f t="shared" si="0"/>
        <v>0.75</v>
      </c>
      <c r="J26" s="32">
        <f>VLOOKUP($A26,Calculator!$A:$AZ,45,FALSE)</f>
        <v>2</v>
      </c>
      <c r="K26" s="28">
        <f t="shared" si="1"/>
        <v>0.81818181818181823</v>
      </c>
      <c r="L26" s="42">
        <f>VLOOKUP($A26,Calculator!$A:$AZ,46,FALSE)</f>
        <v>0.15524333056323264</v>
      </c>
      <c r="M26" s="43">
        <f t="shared" si="2"/>
        <v>0.97035311719550221</v>
      </c>
      <c r="N26" s="42">
        <f t="shared" si="3"/>
        <v>0.8461783117924403</v>
      </c>
      <c r="O26" s="32">
        <f>VLOOKUP($A26,Calculator!$A:$AZ,41,FALSE)</f>
        <v>7</v>
      </c>
      <c r="P26" s="1">
        <f>VLOOKUP($A26,Calculator!$A:$AZ,42,FALSE)</f>
        <v>7</v>
      </c>
      <c r="Q26" s="1">
        <f>VLOOKUP($A26,Calculator!$A:$AZ,43,FALSE)</f>
        <v>6.5</v>
      </c>
      <c r="R26" s="32">
        <f>IF(5="No Data","No Data",O26/(13-IF(O26&lt;13,VLOOKUP($A26,'Data Gaps'!$A:$Z,12,FALSE),0)))</f>
        <v>0.53846153846153844</v>
      </c>
      <c r="S26" s="1">
        <f>IF(P26="No Data","No Data",P26/(8-IF(P26&lt;8,VLOOKUP($A26,'Data Gaps'!$A:$Z,13,FALSE),0)))</f>
        <v>0.875</v>
      </c>
      <c r="T26" s="1">
        <f>IF(Q26="No Data","No Data",Q26/(9-IF(Q26&lt;9,VLOOKUP($A26,'Data Gaps'!$A:$Z,14,FALSE),0)))</f>
        <v>0.8125</v>
      </c>
      <c r="U26" s="32">
        <f t="shared" si="4"/>
        <v>76.803496256349462</v>
      </c>
    </row>
    <row r="27" spans="1:21" x14ac:dyDescent="0.35">
      <c r="A27" s="1" t="s">
        <v>126</v>
      </c>
      <c r="B27" s="28" t="s">
        <v>127</v>
      </c>
      <c r="C27" s="1" t="s">
        <v>7</v>
      </c>
      <c r="D27" s="1" t="s">
        <v>8</v>
      </c>
      <c r="E27" s="29" t="s">
        <v>9</v>
      </c>
      <c r="F27" s="28" t="s">
        <v>159</v>
      </c>
      <c r="G27" s="28" t="str">
        <f>VLOOKUP($A27,'EBA2017'!$A:$G,7,FALSE)</f>
        <v>One</v>
      </c>
      <c r="H27" s="32">
        <f>VLOOKUP($A27,Calculator!$A:$AZ,44,FALSE)</f>
        <v>2</v>
      </c>
      <c r="I27" s="28">
        <f t="shared" si="0"/>
        <v>0.5</v>
      </c>
      <c r="J27" s="32">
        <f>VLOOKUP($A27,Calculator!$A:$AZ,45,FALSE)</f>
        <v>6</v>
      </c>
      <c r="K27" s="28">
        <f t="shared" si="1"/>
        <v>0.45454545454545453</v>
      </c>
      <c r="L27" s="42">
        <f>VLOOKUP($A27,Calculator!$A:$AZ,46,FALSE)</f>
        <v>4.2696010991486055</v>
      </c>
      <c r="M27" s="43">
        <f t="shared" si="2"/>
        <v>0.18463251883882856</v>
      </c>
      <c r="N27" s="42">
        <f t="shared" si="3"/>
        <v>0.37972599112809435</v>
      </c>
      <c r="O27" s="32">
        <f>VLOOKUP($A27,Calculator!$A:$AZ,41,FALSE)</f>
        <v>9</v>
      </c>
      <c r="P27" s="1">
        <f>VLOOKUP($A27,Calculator!$A:$AZ,42,FALSE)</f>
        <v>4.5</v>
      </c>
      <c r="Q27" s="1">
        <f>VLOOKUP($A27,Calculator!$A:$AZ,43,FALSE)</f>
        <v>5.5</v>
      </c>
      <c r="R27" s="32">
        <f>IF(5="No Data","No Data",O27/(13-IF(O27&lt;13,VLOOKUP($A27,'Data Gaps'!$A:$Z,12,FALSE),0)))</f>
        <v>0.69230769230769229</v>
      </c>
      <c r="S27" s="1">
        <f>IF(P27="No Data","No Data",P27/(8-IF(P27&lt;8,VLOOKUP($A27,'Data Gaps'!$A:$Z,13,FALSE),0)))</f>
        <v>0.5625</v>
      </c>
      <c r="T27" s="1">
        <f>IF(Q27="No Data","No Data",Q27/(9-IF(Q27&lt;9,VLOOKUP($A27,'Data Gaps'!$A:$Z,14,FALSE),0)))</f>
        <v>0.6875</v>
      </c>
      <c r="U27" s="32">
        <f t="shared" si="4"/>
        <v>58.050842085894658</v>
      </c>
    </row>
    <row r="28" spans="1:21" x14ac:dyDescent="0.35">
      <c r="A28" s="1" t="s">
        <v>132</v>
      </c>
      <c r="B28" s="28" t="s">
        <v>133</v>
      </c>
      <c r="C28" s="1" t="s">
        <v>7</v>
      </c>
      <c r="D28" s="1" t="s">
        <v>8</v>
      </c>
      <c r="E28" s="28" t="s">
        <v>25</v>
      </c>
      <c r="F28" s="28" t="s">
        <v>159</v>
      </c>
      <c r="G28" s="28" t="str">
        <f>VLOOKUP($A28,'EBA2017'!$A:$G,7,FALSE)</f>
        <v>One</v>
      </c>
      <c r="H28" s="32">
        <f>VLOOKUP($A28,Calculator!$A:$AZ,44,FALSE)</f>
        <v>3</v>
      </c>
      <c r="I28" s="28">
        <f t="shared" si="0"/>
        <v>0.25</v>
      </c>
      <c r="J28" s="32">
        <f>VLOOKUP($A28,Calculator!$A:$AZ,45,FALSE)</f>
        <v>3</v>
      </c>
      <c r="K28" s="28">
        <f t="shared" si="1"/>
        <v>0.72727272727272729</v>
      </c>
      <c r="L28" s="42">
        <f>VLOOKUP($A28,Calculator!$A:$AZ,46,FALSE)</f>
        <v>0.44905817567408512</v>
      </c>
      <c r="M28" s="43">
        <f t="shared" si="2"/>
        <v>0.91424317516050335</v>
      </c>
      <c r="N28" s="42">
        <f t="shared" si="3"/>
        <v>0.63050530081107692</v>
      </c>
      <c r="O28" s="32">
        <f>VLOOKUP($A28,Calculator!$A:$AZ,41,FALSE)</f>
        <v>5.0999999999999996</v>
      </c>
      <c r="P28" s="1">
        <f>VLOOKUP($A28,Calculator!$A:$AZ,42,FALSE)</f>
        <v>7</v>
      </c>
      <c r="Q28" s="1">
        <f>VLOOKUP($A28,Calculator!$A:$AZ,43,FALSE)</f>
        <v>4</v>
      </c>
      <c r="R28" s="32">
        <f>IF(5="No Data","No Data",O28/(13-IF(O28&lt;13,VLOOKUP($A28,'Data Gaps'!$A:$Z,12,FALSE),0)))</f>
        <v>0.3923076923076923</v>
      </c>
      <c r="S28" s="1">
        <f>IF(P28="No Data","No Data",P28/(8-IF(P28&lt;8,VLOOKUP($A28,'Data Gaps'!$A:$Z,13,FALSE),0)))</f>
        <v>0.875</v>
      </c>
      <c r="T28" s="1">
        <f>IF(Q28="No Data","No Data",Q28/(9-IF(Q28&lt;9,VLOOKUP($A28,'Data Gaps'!$A:$Z,14,FALSE),0)))</f>
        <v>0.5</v>
      </c>
      <c r="U28" s="32">
        <f t="shared" si="4"/>
        <v>59.945324827969237</v>
      </c>
    </row>
    <row r="29" spans="1:21" x14ac:dyDescent="0.35">
      <c r="A29" s="1" t="s">
        <v>136</v>
      </c>
      <c r="B29" s="28" t="s">
        <v>137</v>
      </c>
      <c r="C29" s="1" t="s">
        <v>7</v>
      </c>
      <c r="D29" s="1" t="s">
        <v>8</v>
      </c>
      <c r="E29" s="28" t="s">
        <v>9</v>
      </c>
      <c r="F29" s="28" t="s">
        <v>162</v>
      </c>
      <c r="G29" s="28" t="str">
        <f>VLOOKUP($A29,'EBA2017'!$A:$G,7,FALSE)</f>
        <v>One</v>
      </c>
      <c r="H29" s="32">
        <f>VLOOKUP($A29,Calculator!$A:$AZ,44,FALSE)</f>
        <v>3</v>
      </c>
      <c r="I29" s="28">
        <f t="shared" si="0"/>
        <v>0.25</v>
      </c>
      <c r="J29" s="32">
        <f>VLOOKUP($A29,Calculator!$A:$AZ,45,FALSE)</f>
        <v>5</v>
      </c>
      <c r="K29" s="28">
        <f t="shared" si="1"/>
        <v>0.54545454545454541</v>
      </c>
      <c r="L29" s="42">
        <f>VLOOKUP($A29,Calculator!$A:$AZ,46,FALSE)</f>
        <v>0.91585441941597401</v>
      </c>
      <c r="M29" s="43">
        <f t="shared" si="2"/>
        <v>0.82509890415326159</v>
      </c>
      <c r="N29" s="42">
        <f t="shared" si="3"/>
        <v>0.54018448320260237</v>
      </c>
      <c r="O29" s="32">
        <f>VLOOKUP($A29,Calculator!$A:$AZ,41,FALSE)</f>
        <v>8.3999999999999986</v>
      </c>
      <c r="P29" s="1">
        <f>VLOOKUP($A29,Calculator!$A:$AZ,42,FALSE)</f>
        <v>4.5</v>
      </c>
      <c r="Q29" s="1">
        <f>VLOOKUP($A29,Calculator!$A:$AZ,43,FALSE)</f>
        <v>5</v>
      </c>
      <c r="R29" s="32">
        <f>IF(5="No Data","No Data",O29/(13-IF(O29&lt;13,VLOOKUP($A29,'Data Gaps'!$A:$Z,12,FALSE),0)))</f>
        <v>0.64615384615384608</v>
      </c>
      <c r="S29" s="1">
        <f>IF(P29="No Data","No Data",P29/(8-IF(P29&lt;8,VLOOKUP($A29,'Data Gaps'!$A:$Z,13,FALSE),0)))</f>
        <v>0.6428571428571429</v>
      </c>
      <c r="T29" s="1">
        <f>IF(Q29="No Data","No Data",Q29/(9-IF(Q29&lt;9,VLOOKUP($A29,'Data Gaps'!$A:$Z,14,FALSE),0)))</f>
        <v>0.625</v>
      </c>
      <c r="U29" s="32">
        <f t="shared" si="4"/>
        <v>61.354886805339781</v>
      </c>
    </row>
    <row r="30" spans="1:21" x14ac:dyDescent="0.35">
      <c r="A30" s="1" t="s">
        <v>28</v>
      </c>
      <c r="B30" s="28" t="s">
        <v>29</v>
      </c>
      <c r="C30" s="1" t="s">
        <v>16</v>
      </c>
      <c r="D30" s="1" t="s">
        <v>17</v>
      </c>
      <c r="E30" s="29" t="s">
        <v>18</v>
      </c>
      <c r="F30" s="28" t="s">
        <v>160</v>
      </c>
      <c r="G30" s="28" t="str">
        <f>VLOOKUP($A30,'EBA2017'!$A:$G,7,FALSE)</f>
        <v>Two</v>
      </c>
      <c r="H30" s="32">
        <f>VLOOKUP($A30,Calculator!$A:$AZ,44,FALSE)</f>
        <v>4</v>
      </c>
      <c r="I30" s="28">
        <f t="shared" si="0"/>
        <v>0</v>
      </c>
      <c r="J30" s="32">
        <f>VLOOKUP($A30,Calculator!$A:$AZ,45,FALSE)</f>
        <v>4</v>
      </c>
      <c r="K30" s="28">
        <f t="shared" si="1"/>
        <v>0.63636363636363635</v>
      </c>
      <c r="L30" s="42">
        <f>VLOOKUP($A30,Calculator!$A:$AZ,46,FALSE)</f>
        <v>3.0611249214041747</v>
      </c>
      <c r="M30" s="43">
        <f t="shared" si="2"/>
        <v>0.41541571244612929</v>
      </c>
      <c r="N30" s="42">
        <f t="shared" si="3"/>
        <v>0.3505931162699219</v>
      </c>
      <c r="O30" s="32">
        <f>VLOOKUP($A30,Calculator!$A:$AZ,41,FALSE)</f>
        <v>7</v>
      </c>
      <c r="P30" s="1">
        <f>VLOOKUP($A30,Calculator!$A:$AZ,42,FALSE)</f>
        <v>3</v>
      </c>
      <c r="Q30" s="1">
        <f>VLOOKUP($A30,Calculator!$A:$AZ,43,FALSE)</f>
        <v>3</v>
      </c>
      <c r="R30" s="32">
        <f>IF(5="No Data","No Data",O30/(13-IF(O30&lt;13,VLOOKUP($A30,'Data Gaps'!$A:$Z,12,FALSE),0)))</f>
        <v>0.53846153846153844</v>
      </c>
      <c r="S30" s="1">
        <f>IF(P30="No Data","No Data",P30/(8-IF(P30&lt;8,VLOOKUP($A30,'Data Gaps'!$A:$Z,13,FALSE),0)))</f>
        <v>0.375</v>
      </c>
      <c r="T30" s="1">
        <f>IF(Q30="No Data","No Data",Q30/(9-IF(Q30&lt;9,VLOOKUP($A30,'Data Gaps'!$A:$Z,14,FALSE),0)))</f>
        <v>0.33333333333333331</v>
      </c>
      <c r="U30" s="32">
        <f t="shared" si="4"/>
        <v>39.934699701619842</v>
      </c>
    </row>
    <row r="31" spans="1:21" x14ac:dyDescent="0.35">
      <c r="A31" s="1" t="s">
        <v>14</v>
      </c>
      <c r="B31" s="28" t="s">
        <v>15</v>
      </c>
      <c r="C31" s="1" t="s">
        <v>16</v>
      </c>
      <c r="D31" s="1" t="s">
        <v>17</v>
      </c>
      <c r="E31" s="29" t="s">
        <v>18</v>
      </c>
      <c r="F31" s="28" t="s">
        <v>159</v>
      </c>
      <c r="G31" s="28" t="str">
        <f>VLOOKUP($A31,'EBA2017'!$A:$G,7,FALSE)</f>
        <v>Two</v>
      </c>
      <c r="H31" s="32">
        <f>VLOOKUP($A31,Calculator!$A:$AZ,44,FALSE)</f>
        <v>1</v>
      </c>
      <c r="I31" s="28">
        <f t="shared" si="0"/>
        <v>0.75</v>
      </c>
      <c r="J31" s="32">
        <f>VLOOKUP($A31,Calculator!$A:$AZ,45,FALSE)</f>
        <v>2</v>
      </c>
      <c r="K31" s="28">
        <f t="shared" si="1"/>
        <v>0.81818181818181823</v>
      </c>
      <c r="L31" s="42">
        <f>VLOOKUP($A31,Calculator!$A:$AZ,46,FALSE)</f>
        <v>0.98048125778060613</v>
      </c>
      <c r="M31" s="43">
        <f t="shared" si="2"/>
        <v>0.81275709020176912</v>
      </c>
      <c r="N31" s="42">
        <f t="shared" si="3"/>
        <v>0.79364630279452919</v>
      </c>
      <c r="O31" s="32">
        <f>VLOOKUP($A31,Calculator!$A:$AZ,41,FALSE)</f>
        <v>7.5</v>
      </c>
      <c r="P31" s="1">
        <f>VLOOKUP($A31,Calculator!$A:$AZ,42,FALSE)</f>
        <v>3</v>
      </c>
      <c r="Q31" s="1">
        <f>VLOOKUP($A31,Calculator!$A:$AZ,43,FALSE)</f>
        <v>4.5</v>
      </c>
      <c r="R31" s="32">
        <f>IF(5="No Data","No Data",O31/(13-IF(O31&lt;13,VLOOKUP($A31,'Data Gaps'!$A:$Z,12,FALSE),0)))</f>
        <v>0.57692307692307687</v>
      </c>
      <c r="S31" s="1">
        <f>IF(P31="No Data","No Data",P31/(8-IF(P31&lt;8,VLOOKUP($A31,'Data Gaps'!$A:$Z,13,FALSE),0)))</f>
        <v>0.375</v>
      </c>
      <c r="T31" s="1">
        <f>IF(Q31="No Data","No Data",Q31/(9-IF(Q31&lt;9,VLOOKUP($A31,'Data Gaps'!$A:$Z,14,FALSE),0)))</f>
        <v>0.5</v>
      </c>
      <c r="U31" s="32">
        <f t="shared" si="4"/>
        <v>56.139234492940147</v>
      </c>
    </row>
    <row r="32" spans="1:21" x14ac:dyDescent="0.35">
      <c r="A32" s="1" t="s">
        <v>26</v>
      </c>
      <c r="B32" s="28" t="s">
        <v>27</v>
      </c>
      <c r="C32" s="1" t="s">
        <v>16</v>
      </c>
      <c r="D32" s="1" t="s">
        <v>17</v>
      </c>
      <c r="E32" s="29" t="s">
        <v>18</v>
      </c>
      <c r="F32" s="28" t="s">
        <v>159</v>
      </c>
      <c r="G32" s="28" t="str">
        <f>VLOOKUP($A32,'EBA2017'!$A:$G,7,FALSE)</f>
        <v>Two</v>
      </c>
      <c r="H32" s="32">
        <f>VLOOKUP($A32,Calculator!$A:$AZ,44,FALSE)</f>
        <v>2</v>
      </c>
      <c r="I32" s="28">
        <f t="shared" si="0"/>
        <v>0.5</v>
      </c>
      <c r="J32" s="32">
        <f>VLOOKUP($A32,Calculator!$A:$AZ,45,FALSE)</f>
        <v>2</v>
      </c>
      <c r="K32" s="28">
        <f t="shared" si="1"/>
        <v>0.81818181818181823</v>
      </c>
      <c r="L32" s="42">
        <f>VLOOKUP($A32,Calculator!$A:$AZ,46,FALSE)</f>
        <v>2.2486514634766546</v>
      </c>
      <c r="M32" s="43">
        <f t="shared" si="2"/>
        <v>0.57057410348007631</v>
      </c>
      <c r="N32" s="42">
        <f t="shared" si="3"/>
        <v>0.62958530722063155</v>
      </c>
      <c r="O32" s="32">
        <f>VLOOKUP($A32,Calculator!$A:$AZ,41,FALSE)</f>
        <v>9.75</v>
      </c>
      <c r="P32" s="1">
        <f>VLOOKUP($A32,Calculator!$A:$AZ,42,FALSE)</f>
        <v>2</v>
      </c>
      <c r="Q32" s="1">
        <f>VLOOKUP($A32,Calculator!$A:$AZ,43,FALSE)</f>
        <v>5</v>
      </c>
      <c r="R32" s="32">
        <f>IF(5="No Data","No Data",O32/(13-IF(O32&lt;13,VLOOKUP($A32,'Data Gaps'!$A:$Z,12,FALSE),0)))</f>
        <v>0.75</v>
      </c>
      <c r="S32" s="1">
        <f>IF(P32="No Data","No Data",P32/(8-IF(P32&lt;8,VLOOKUP($A32,'Data Gaps'!$A:$Z,13,FALSE),0)))</f>
        <v>0.25</v>
      </c>
      <c r="T32" s="1">
        <f>IF(Q32="No Data","No Data",Q32/(9-IF(Q32&lt;9,VLOOKUP($A32,'Data Gaps'!$A:$Z,14,FALSE),0)))</f>
        <v>0.55555555555555558</v>
      </c>
      <c r="U32" s="32">
        <f t="shared" si="4"/>
        <v>54.628521569404676</v>
      </c>
    </row>
    <row r="33" spans="1:21" x14ac:dyDescent="0.35">
      <c r="A33" s="1" t="s">
        <v>10</v>
      </c>
      <c r="B33" s="28" t="s">
        <v>11</v>
      </c>
      <c r="C33" s="1" t="s">
        <v>12</v>
      </c>
      <c r="D33" s="1" t="s">
        <v>13</v>
      </c>
      <c r="E33" s="29" t="s">
        <v>9</v>
      </c>
      <c r="F33" s="28" t="s">
        <v>159</v>
      </c>
      <c r="G33" s="28" t="str">
        <f>VLOOKUP($A33,'EBA2017'!$A:$G,7,FALSE)</f>
        <v>Two</v>
      </c>
      <c r="H33" s="32">
        <f>VLOOKUP($A33,Calculator!$A:$AZ,44,FALSE)</f>
        <v>1</v>
      </c>
      <c r="I33" s="28">
        <f t="shared" si="0"/>
        <v>0.75</v>
      </c>
      <c r="J33" s="32">
        <f>VLOOKUP($A33,Calculator!$A:$AZ,45,FALSE)</f>
        <v>1</v>
      </c>
      <c r="K33" s="28">
        <f t="shared" si="1"/>
        <v>0.90909090909090906</v>
      </c>
      <c r="L33" s="42">
        <f>VLOOKUP($A33,Calculator!$A:$AZ,46,FALSE)</f>
        <v>0.14939359197745775</v>
      </c>
      <c r="M33" s="43">
        <f t="shared" si="2"/>
        <v>0.97147024418356787</v>
      </c>
      <c r="N33" s="42">
        <f t="shared" si="3"/>
        <v>0.8768537177581589</v>
      </c>
      <c r="O33" s="32">
        <f>VLOOKUP($A33,Calculator!$A:$AZ,41,FALSE)</f>
        <v>6</v>
      </c>
      <c r="P33" s="1">
        <f>VLOOKUP($A33,Calculator!$A:$AZ,42,FALSE)</f>
        <v>6</v>
      </c>
      <c r="Q33" s="1">
        <f>VLOOKUP($A33,Calculator!$A:$AZ,43,FALSE)</f>
        <v>5</v>
      </c>
      <c r="R33" s="32">
        <f>IF(5="No Data","No Data",O33/(13-IF(O33&lt;13,VLOOKUP($A33,'Data Gaps'!$A:$Z,12,FALSE),0)))</f>
        <v>0.46153846153846156</v>
      </c>
      <c r="S33" s="1">
        <f>IF(P33="No Data","No Data",P33/(8-IF(P33&lt;8,VLOOKUP($A33,'Data Gaps'!$A:$Z,13,FALSE),0)))</f>
        <v>0.75</v>
      </c>
      <c r="T33" s="1">
        <f>IF(Q33="No Data","No Data",Q33/(9-IF(Q33&lt;9,VLOOKUP($A33,'Data Gaps'!$A:$Z,14,FALSE),0)))</f>
        <v>0.55555555555555558</v>
      </c>
      <c r="U33" s="32">
        <f t="shared" si="4"/>
        <v>66.098693371304407</v>
      </c>
    </row>
    <row r="34" spans="1:21" x14ac:dyDescent="0.35">
      <c r="A34" s="1" t="s">
        <v>19</v>
      </c>
      <c r="B34" s="28" t="s">
        <v>20</v>
      </c>
      <c r="C34" s="1" t="s">
        <v>21</v>
      </c>
      <c r="D34" s="1" t="s">
        <v>22</v>
      </c>
      <c r="E34" s="29" t="s">
        <v>9</v>
      </c>
      <c r="F34" s="28" t="s">
        <v>162</v>
      </c>
      <c r="G34" s="28" t="str">
        <f>VLOOKUP($A34,'EBA2017'!$A:$G,7,FALSE)</f>
        <v>Two</v>
      </c>
      <c r="H34" s="32">
        <f>VLOOKUP($A34,Calculator!$A:$AZ,44,FALSE)</f>
        <v>1</v>
      </c>
      <c r="I34" s="28">
        <f t="shared" si="0"/>
        <v>0.75</v>
      </c>
      <c r="J34" s="32">
        <f>VLOOKUP($A34,Calculator!$A:$AZ,45,FALSE)</f>
        <v>2</v>
      </c>
      <c r="K34" s="28">
        <f t="shared" si="1"/>
        <v>0.81818181818181823</v>
      </c>
      <c r="L34" s="42">
        <f>VLOOKUP($A34,Calculator!$A:$AZ,46,FALSE)</f>
        <v>1.8574718750218087</v>
      </c>
      <c r="M34" s="43">
        <f t="shared" si="2"/>
        <v>0.64527783066988187</v>
      </c>
      <c r="N34" s="42">
        <f t="shared" si="3"/>
        <v>0.73781988295056677</v>
      </c>
      <c r="O34" s="32">
        <f>VLOOKUP($A34,Calculator!$A:$AZ,41,FALSE)</f>
        <v>10.75</v>
      </c>
      <c r="P34" s="1">
        <f>VLOOKUP($A34,Calculator!$A:$AZ,42,FALSE)</f>
        <v>4</v>
      </c>
      <c r="Q34" s="1">
        <f>VLOOKUP($A34,Calculator!$A:$AZ,43,FALSE)</f>
        <v>5</v>
      </c>
      <c r="R34" s="32">
        <f>IF(5="No Data","No Data",O34/(13-IF(O34&lt;13,VLOOKUP($A34,'Data Gaps'!$A:$Z,12,FALSE),0)))</f>
        <v>0.82692307692307687</v>
      </c>
      <c r="S34" s="1">
        <f>IF(P34="No Data","No Data",P34/(8-IF(P34&lt;8,VLOOKUP($A34,'Data Gaps'!$A:$Z,13,FALSE),0)))</f>
        <v>0.5</v>
      </c>
      <c r="T34" s="1">
        <f>IF(Q34="No Data","No Data",Q34/(9-IF(Q34&lt;9,VLOOKUP($A34,'Data Gaps'!$A:$Z,14,FALSE),0)))</f>
        <v>0.55555555555555558</v>
      </c>
      <c r="U34" s="32">
        <f t="shared" si="4"/>
        <v>65.507462885729979</v>
      </c>
    </row>
    <row r="35" spans="1:21" x14ac:dyDescent="0.35">
      <c r="A35" s="1" t="s">
        <v>43</v>
      </c>
      <c r="B35" s="28" t="s">
        <v>44</v>
      </c>
      <c r="C35" s="1" t="s">
        <v>16</v>
      </c>
      <c r="D35" s="1" t="s">
        <v>17</v>
      </c>
      <c r="E35" s="29" t="s">
        <v>9</v>
      </c>
      <c r="F35" s="28" t="s">
        <v>160</v>
      </c>
      <c r="G35" s="28" t="str">
        <f>VLOOKUP($A35,'EBA2017'!$A:$G,7,FALSE)</f>
        <v>Two</v>
      </c>
      <c r="H35" s="32">
        <f>VLOOKUP($A35,Calculator!$A:$AZ,44,FALSE)</f>
        <v>3</v>
      </c>
      <c r="I35" s="28">
        <f t="shared" si="0"/>
        <v>0.25</v>
      </c>
      <c r="J35" s="32">
        <f>VLOOKUP($A35,Calculator!$A:$AZ,45,FALSE)</f>
        <v>11</v>
      </c>
      <c r="K35" s="28">
        <f t="shared" si="1"/>
        <v>0</v>
      </c>
      <c r="L35" s="42">
        <f>VLOOKUP($A35,Calculator!$A:$AZ,46,FALSE)</f>
        <v>3.1232686661428306</v>
      </c>
      <c r="M35" s="43">
        <f t="shared" si="2"/>
        <v>0.40354809590752933</v>
      </c>
      <c r="N35" s="42">
        <f t="shared" si="3"/>
        <v>0.21784936530250976</v>
      </c>
      <c r="O35" s="32">
        <f>VLOOKUP($A35,Calculator!$A:$AZ,41,FALSE)</f>
        <v>7.5</v>
      </c>
      <c r="P35" s="1">
        <f>VLOOKUP($A35,Calculator!$A:$AZ,42,FALSE)</f>
        <v>2</v>
      </c>
      <c r="Q35" s="1">
        <f>VLOOKUP($A35,Calculator!$A:$AZ,43,FALSE)</f>
        <v>2</v>
      </c>
      <c r="R35" s="32">
        <f>IF(5="No Data","No Data",O35/(13-IF(O35&lt;13,VLOOKUP($A35,'Data Gaps'!$A:$Z,12,FALSE),0)))</f>
        <v>0.57692307692307687</v>
      </c>
      <c r="S35" s="1">
        <f>IF(P35="No Data","No Data",P35/(8-IF(P35&lt;8,VLOOKUP($A35,'Data Gaps'!$A:$Z,13,FALSE),0)))</f>
        <v>0.25</v>
      </c>
      <c r="T35" s="1">
        <f>IF(Q35="No Data","No Data",Q35/(9-IF(Q35&lt;9,VLOOKUP($A35,'Data Gaps'!$A:$Z,14,FALSE),0)))</f>
        <v>0.22222222222222221</v>
      </c>
      <c r="U35" s="32">
        <f t="shared" si="4"/>
        <v>31.674866611195217</v>
      </c>
    </row>
    <row r="36" spans="1:21" x14ac:dyDescent="0.35">
      <c r="A36" s="1" t="s">
        <v>34</v>
      </c>
      <c r="B36" s="28" t="s">
        <v>35</v>
      </c>
      <c r="C36" s="1" t="s">
        <v>16</v>
      </c>
      <c r="D36" s="1" t="s">
        <v>17</v>
      </c>
      <c r="E36" s="29" t="s">
        <v>9</v>
      </c>
      <c r="F36" s="28" t="s">
        <v>160</v>
      </c>
      <c r="G36" s="28" t="str">
        <f>VLOOKUP($A36,'EBA2017'!$A:$G,7,FALSE)</f>
        <v>Two</v>
      </c>
      <c r="H36" s="32">
        <f>VLOOKUP($A36,Calculator!$A:$AZ,44,FALSE)</f>
        <v>1</v>
      </c>
      <c r="I36" s="28">
        <f t="shared" si="0"/>
        <v>0.75</v>
      </c>
      <c r="J36" s="32">
        <f>VLOOKUP($A36,Calculator!$A:$AZ,45,FALSE)</f>
        <v>8</v>
      </c>
      <c r="K36" s="28">
        <f t="shared" si="1"/>
        <v>0.27272727272727271</v>
      </c>
      <c r="L36" s="42">
        <f>VLOOKUP($A36,Calculator!$A:$AZ,46,FALSE)</f>
        <v>0.68778264357688079</v>
      </c>
      <c r="M36" s="43">
        <f t="shared" si="2"/>
        <v>0.86865386516049925</v>
      </c>
      <c r="N36" s="42">
        <f t="shared" si="3"/>
        <v>0.63046037929592391</v>
      </c>
      <c r="O36" s="32">
        <f>VLOOKUP($A36,Calculator!$A:$AZ,41,FALSE)</f>
        <v>10</v>
      </c>
      <c r="P36" s="1">
        <f>VLOOKUP($A36,Calculator!$A:$AZ,42,FALSE)</f>
        <v>4</v>
      </c>
      <c r="Q36" s="1">
        <f>VLOOKUP($A36,Calculator!$A:$AZ,43,FALSE)</f>
        <v>2</v>
      </c>
      <c r="R36" s="32">
        <f>IF(5="No Data","No Data",O36/(13-IF(O36&lt;13,VLOOKUP($A36,'Data Gaps'!$A:$Z,12,FALSE),0)))</f>
        <v>0.76923076923076927</v>
      </c>
      <c r="S36" s="1">
        <f>IF(P36="No Data","No Data",P36/(8-IF(P36&lt;8,VLOOKUP($A36,'Data Gaps'!$A:$Z,13,FALSE),0)))</f>
        <v>0.5</v>
      </c>
      <c r="T36" s="1">
        <f>IF(Q36="No Data","No Data",Q36/(9-IF(Q36&lt;9,VLOOKUP($A36,'Data Gaps'!$A:$Z,14,FALSE),0)))</f>
        <v>0.22222222222222221</v>
      </c>
      <c r="U36" s="32">
        <f t="shared" si="4"/>
        <v>53.04783426872288</v>
      </c>
    </row>
    <row r="37" spans="1:21" x14ac:dyDescent="0.35">
      <c r="A37" s="1" t="s">
        <v>41</v>
      </c>
      <c r="B37" s="28" t="s">
        <v>42</v>
      </c>
      <c r="C37" s="1" t="s">
        <v>21</v>
      </c>
      <c r="D37" s="1" t="s">
        <v>22</v>
      </c>
      <c r="E37" s="29" t="s">
        <v>25</v>
      </c>
      <c r="F37" s="28" t="s">
        <v>160</v>
      </c>
      <c r="G37" s="28" t="str">
        <f>VLOOKUP($A37,'EBA2017'!$A:$G,7,FALSE)</f>
        <v>Two</v>
      </c>
      <c r="H37" s="32">
        <f>VLOOKUP($A37,Calculator!$A:$AZ,44,FALSE)</f>
        <v>2</v>
      </c>
      <c r="I37" s="28">
        <f t="shared" si="0"/>
        <v>0.5</v>
      </c>
      <c r="J37" s="32">
        <f>VLOOKUP($A37,Calculator!$A:$AZ,45,FALSE)</f>
        <v>4</v>
      </c>
      <c r="K37" s="28">
        <f t="shared" si="1"/>
        <v>0.63636363636363635</v>
      </c>
      <c r="L37" s="42">
        <f>VLOOKUP($A37,Calculator!$A:$AZ,46,FALSE)</f>
        <v>0.39989538120900087</v>
      </c>
      <c r="M37" s="43">
        <f t="shared" si="2"/>
        <v>0.92363181427665708</v>
      </c>
      <c r="N37" s="42">
        <f t="shared" si="3"/>
        <v>0.68666515021343111</v>
      </c>
      <c r="O37" s="32">
        <f>VLOOKUP($A37,Calculator!$A:$AZ,41,FALSE)</f>
        <v>9.1</v>
      </c>
      <c r="P37" s="1">
        <f>VLOOKUP($A37,Calculator!$A:$AZ,42,FALSE)</f>
        <v>6</v>
      </c>
      <c r="Q37" s="1">
        <f>VLOOKUP($A37,Calculator!$A:$AZ,43,FALSE)</f>
        <v>6</v>
      </c>
      <c r="R37" s="32">
        <f>IF(5="No Data","No Data",O37/(13-IF(O37&lt;13,VLOOKUP($A37,'Data Gaps'!$A:$Z,12,FALSE),0)))</f>
        <v>0.7</v>
      </c>
      <c r="S37" s="1">
        <f>IF(P37="No Data","No Data",P37/(8-IF(P37&lt;8,VLOOKUP($A37,'Data Gaps'!$A:$Z,13,FALSE),0)))</f>
        <v>0.75</v>
      </c>
      <c r="T37" s="1">
        <f>IF(Q37="No Data","No Data",Q37/(9-IF(Q37&lt;9,VLOOKUP($A37,'Data Gaps'!$A:$Z,14,FALSE),0)))</f>
        <v>0.66666666666666663</v>
      </c>
      <c r="U37" s="32">
        <f t="shared" si="4"/>
        <v>70.083295422002436</v>
      </c>
    </row>
    <row r="38" spans="1:21" x14ac:dyDescent="0.35">
      <c r="A38" s="1" t="s">
        <v>47</v>
      </c>
      <c r="B38" s="28" t="s">
        <v>48</v>
      </c>
      <c r="C38" s="1" t="s">
        <v>49</v>
      </c>
      <c r="D38" s="1" t="s">
        <v>50</v>
      </c>
      <c r="E38" s="29" t="s">
        <v>9</v>
      </c>
      <c r="F38" s="28" t="s">
        <v>159</v>
      </c>
      <c r="G38" s="28" t="str">
        <f>VLOOKUP($A38,'EBA2017'!$A:$G,7,FALSE)</f>
        <v>Two</v>
      </c>
      <c r="H38" s="32">
        <f>VLOOKUP($A38,Calculator!$A:$AZ,44,FALSE)</f>
        <v>1</v>
      </c>
      <c r="I38" s="28">
        <f t="shared" si="0"/>
        <v>0.75</v>
      </c>
      <c r="J38" s="32">
        <f>VLOOKUP($A38,Calculator!$A:$AZ,45,FALSE)</f>
        <v>2</v>
      </c>
      <c r="K38" s="28">
        <f t="shared" si="1"/>
        <v>0.81818181818181823</v>
      </c>
      <c r="L38" s="42">
        <f>VLOOKUP($A38,Calculator!$A:$AZ,46,FALSE)</f>
        <v>4.3192777743096871</v>
      </c>
      <c r="M38" s="43">
        <f t="shared" si="2"/>
        <v>0.17514574371441943</v>
      </c>
      <c r="N38" s="42">
        <f t="shared" si="3"/>
        <v>0.58110918729874594</v>
      </c>
      <c r="O38" s="32">
        <f>VLOOKUP($A38,Calculator!$A:$AZ,41,FALSE)</f>
        <v>6.5</v>
      </c>
      <c r="P38" s="1">
        <f>VLOOKUP($A38,Calculator!$A:$AZ,42,FALSE)</f>
        <v>1.5</v>
      </c>
      <c r="Q38" s="1">
        <f>VLOOKUP($A38,Calculator!$A:$AZ,43,FALSE)</f>
        <v>5</v>
      </c>
      <c r="R38" s="32">
        <f>IF(5="No Data","No Data",O38/(13-IF(O38&lt;13,VLOOKUP($A38,'Data Gaps'!$A:$Z,12,FALSE),0)))</f>
        <v>0.5</v>
      </c>
      <c r="S38" s="1">
        <f>IF(P38="No Data","No Data",P38/(8-IF(P38&lt;8,VLOOKUP($A38,'Data Gaps'!$A:$Z,13,FALSE),0)))</f>
        <v>0.1875</v>
      </c>
      <c r="T38" s="1">
        <f>IF(Q38="No Data","No Data",Q38/(9-IF(Q38&lt;9,VLOOKUP($A38,'Data Gaps'!$A:$Z,14,FALSE),0)))</f>
        <v>0.625</v>
      </c>
      <c r="U38" s="32">
        <f t="shared" si="4"/>
        <v>47.340229682468646</v>
      </c>
    </row>
    <row r="39" spans="1:21" x14ac:dyDescent="0.35">
      <c r="A39" s="1" t="s">
        <v>51</v>
      </c>
      <c r="B39" s="28" t="s">
        <v>52</v>
      </c>
      <c r="C39" s="1" t="s">
        <v>16</v>
      </c>
      <c r="D39" s="1" t="s">
        <v>17</v>
      </c>
      <c r="E39" s="29" t="s">
        <v>18</v>
      </c>
      <c r="F39" s="28" t="s">
        <v>160</v>
      </c>
      <c r="G39" s="28" t="str">
        <f>VLOOKUP($A39,'EBA2017'!$A:$G,7,FALSE)</f>
        <v>Two</v>
      </c>
      <c r="H39" s="32">
        <f>VLOOKUP($A39,Calculator!$A:$AZ,44,FALSE)</f>
        <v>3</v>
      </c>
      <c r="I39" s="28">
        <f t="shared" si="0"/>
        <v>0.25</v>
      </c>
      <c r="J39" s="32">
        <f>VLOOKUP($A39,Calculator!$A:$AZ,45,FALSE)</f>
        <v>3</v>
      </c>
      <c r="K39" s="28">
        <f t="shared" si="1"/>
        <v>0.72727272727272729</v>
      </c>
      <c r="L39" s="42">
        <f>VLOOKUP($A39,Calculator!$A:$AZ,46,FALSE)</f>
        <v>2.4670456046413367</v>
      </c>
      <c r="M39" s="43">
        <f t="shared" si="2"/>
        <v>0.52886728435420682</v>
      </c>
      <c r="N39" s="42">
        <f t="shared" si="3"/>
        <v>0.50204667054231134</v>
      </c>
      <c r="O39" s="32">
        <f>VLOOKUP($A39,Calculator!$A:$AZ,41,FALSE)</f>
        <v>10.55</v>
      </c>
      <c r="P39" s="1">
        <f>VLOOKUP($A39,Calculator!$A:$AZ,42,FALSE)</f>
        <v>1</v>
      </c>
      <c r="Q39" s="1">
        <f>VLOOKUP($A39,Calculator!$A:$AZ,43,FALSE)</f>
        <v>3.5</v>
      </c>
      <c r="R39" s="32">
        <f>IF(5="No Data","No Data",O39/(13-IF(O39&lt;13,VLOOKUP($A39,'Data Gaps'!$A:$Z,12,FALSE),0)))</f>
        <v>0.81153846153846154</v>
      </c>
      <c r="S39" s="1">
        <f>IF(P39="No Data","No Data",P39/(8-IF(P39&lt;8,VLOOKUP($A39,'Data Gaps'!$A:$Z,13,FALSE),0)))</f>
        <v>0.125</v>
      </c>
      <c r="T39" s="1">
        <f>IF(Q39="No Data","No Data",Q39/(9-IF(Q39&lt;9,VLOOKUP($A39,'Data Gaps'!$A:$Z,14,FALSE),0)))</f>
        <v>0.3888888888888889</v>
      </c>
      <c r="U39" s="32">
        <f t="shared" si="4"/>
        <v>45.686850524241542</v>
      </c>
    </row>
    <row r="40" spans="1:21" x14ac:dyDescent="0.35">
      <c r="A40" s="1" t="s">
        <v>55</v>
      </c>
      <c r="B40" s="28" t="s">
        <v>56</v>
      </c>
      <c r="C40" s="1" t="s">
        <v>16</v>
      </c>
      <c r="D40" s="1" t="s">
        <v>17</v>
      </c>
      <c r="E40" s="29" t="s">
        <v>9</v>
      </c>
      <c r="F40" s="28" t="s">
        <v>160</v>
      </c>
      <c r="G40" s="28" t="str">
        <f>VLOOKUP($A40,'EBA2017'!$A:$G,7,FALSE)</f>
        <v>Two</v>
      </c>
      <c r="H40" s="32">
        <f>VLOOKUP($A40,Calculator!$A:$AZ,44,FALSE)</f>
        <v>3</v>
      </c>
      <c r="I40" s="28">
        <f t="shared" si="0"/>
        <v>0.25</v>
      </c>
      <c r="J40" s="32" t="str">
        <f>VLOOKUP($A40,Calculator!$A:$AZ,45,FALSE)</f>
        <v>No data</v>
      </c>
      <c r="K40" s="28" t="str">
        <f t="shared" si="1"/>
        <v>No data</v>
      </c>
      <c r="L40" s="42">
        <f>VLOOKUP($A40,Calculator!$A:$AZ,46,FALSE)</f>
        <v>1.0107589828130152</v>
      </c>
      <c r="M40" s="43">
        <f t="shared" si="2"/>
        <v>0.80697494057662289</v>
      </c>
      <c r="N40" s="42">
        <f t="shared" si="3"/>
        <v>0.52848747028831145</v>
      </c>
      <c r="O40" s="32">
        <f>VLOOKUP($A40,Calculator!$A:$AZ,41,FALSE)</f>
        <v>5.9</v>
      </c>
      <c r="P40" s="1">
        <f>VLOOKUP($A40,Calculator!$A:$AZ,42,FALSE)</f>
        <v>3</v>
      </c>
      <c r="Q40" s="1">
        <f>VLOOKUP($A40,Calculator!$A:$AZ,43,FALSE)</f>
        <v>2</v>
      </c>
      <c r="R40" s="32">
        <f>IF(5="No Data","No Data",O40/(13-IF(O40&lt;13,VLOOKUP($A40,'Data Gaps'!$A:$Z,12,FALSE),0)))</f>
        <v>0.4538461538461539</v>
      </c>
      <c r="S40" s="1">
        <f>IF(P40="No Data","No Data",P40/(8-IF(P40&lt;8,VLOOKUP($A40,'Data Gaps'!$A:$Z,13,FALSE),0)))</f>
        <v>0.375</v>
      </c>
      <c r="T40" s="1">
        <f>IF(Q40="No Data","No Data",Q40/(9-IF(Q40&lt;9,VLOOKUP($A40,'Data Gaps'!$A:$Z,14,FALSE),0)))</f>
        <v>0.25</v>
      </c>
      <c r="U40" s="32">
        <f t="shared" si="4"/>
        <v>40.183340603361636</v>
      </c>
    </row>
    <row r="41" spans="1:21" x14ac:dyDescent="0.35">
      <c r="A41" s="1" t="s">
        <v>59</v>
      </c>
      <c r="B41" s="28" t="s">
        <v>60</v>
      </c>
      <c r="C41" s="1" t="s">
        <v>21</v>
      </c>
      <c r="D41" s="1" t="s">
        <v>22</v>
      </c>
      <c r="E41" s="28" t="s">
        <v>9</v>
      </c>
      <c r="F41" s="28" t="s">
        <v>159</v>
      </c>
      <c r="G41" s="28" t="str">
        <f>VLOOKUP($A41,'EBA2017'!$A:$G,7,FALSE)</f>
        <v>Two</v>
      </c>
      <c r="H41" s="32">
        <f>VLOOKUP($A41,Calculator!$A:$AZ,44,FALSE)</f>
        <v>1</v>
      </c>
      <c r="I41" s="28">
        <f t="shared" si="0"/>
        <v>0.75</v>
      </c>
      <c r="J41" s="32">
        <f>VLOOKUP($A41,Calculator!$A:$AZ,45,FALSE)</f>
        <v>1</v>
      </c>
      <c r="K41" s="28">
        <f t="shared" si="1"/>
        <v>0.90909090909090906</v>
      </c>
      <c r="L41" s="42">
        <f>VLOOKUP($A41,Calculator!$A:$AZ,46,FALSE)</f>
        <v>0.17409470752089137</v>
      </c>
      <c r="M41" s="43">
        <f t="shared" si="2"/>
        <v>0.96675306197033117</v>
      </c>
      <c r="N41" s="42">
        <f t="shared" si="3"/>
        <v>0.87528132368708012</v>
      </c>
      <c r="O41" s="32">
        <f>VLOOKUP($A41,Calculator!$A:$AZ,41,FALSE)</f>
        <v>7</v>
      </c>
      <c r="P41" s="1">
        <f>VLOOKUP($A41,Calculator!$A:$AZ,42,FALSE)</f>
        <v>6</v>
      </c>
      <c r="Q41" s="1">
        <f>VLOOKUP($A41,Calculator!$A:$AZ,43,FALSE)</f>
        <v>6.5</v>
      </c>
      <c r="R41" s="32">
        <f>IF(5="No Data","No Data",O41/(13-IF(O41&lt;13,VLOOKUP($A41,'Data Gaps'!$A:$Z,12,FALSE),0)))</f>
        <v>0.53846153846153844</v>
      </c>
      <c r="S41" s="1">
        <f>IF(P41="No Data","No Data",P41/(8-IF(P41&lt;8,VLOOKUP($A41,'Data Gaps'!$A:$Z,13,FALSE),0)))</f>
        <v>0.75</v>
      </c>
      <c r="T41" s="1">
        <f>IF(Q41="No Data","No Data",Q41/(9-IF(Q41&lt;9,VLOOKUP($A41,'Data Gaps'!$A:$Z,14,FALSE),0)))</f>
        <v>0.72222222222222221</v>
      </c>
      <c r="U41" s="32">
        <f t="shared" si="4"/>
        <v>72.149127109271021</v>
      </c>
    </row>
    <row r="42" spans="1:21" x14ac:dyDescent="0.35">
      <c r="A42" s="1" t="s">
        <v>61</v>
      </c>
      <c r="B42" s="28" t="s">
        <v>62</v>
      </c>
      <c r="C42" s="1" t="s">
        <v>21</v>
      </c>
      <c r="D42" s="1" t="s">
        <v>22</v>
      </c>
      <c r="E42" s="28" t="s">
        <v>18</v>
      </c>
      <c r="F42" s="28" t="s">
        <v>159</v>
      </c>
      <c r="G42" s="28" t="str">
        <f>VLOOKUP($A42,'EBA2017'!$A:$G,7,FALSE)</f>
        <v>Two</v>
      </c>
      <c r="H42" s="32">
        <f>VLOOKUP($A42,Calculator!$A:$AZ,44,FALSE)</f>
        <v>1</v>
      </c>
      <c r="I42" s="28">
        <f t="shared" si="0"/>
        <v>0.75</v>
      </c>
      <c r="J42" s="32" t="str">
        <f>VLOOKUP($A42,Calculator!$A:$AZ,45,FALSE)</f>
        <v>No data</v>
      </c>
      <c r="K42" s="28" t="str">
        <f t="shared" si="1"/>
        <v>No data</v>
      </c>
      <c r="L42" s="42">
        <f>VLOOKUP($A42,Calculator!$A:$AZ,46,FALSE)</f>
        <v>1.6092143474503562</v>
      </c>
      <c r="M42" s="43">
        <f t="shared" si="2"/>
        <v>0.69268767300283418</v>
      </c>
      <c r="N42" s="42">
        <f t="shared" si="3"/>
        <v>0.72134383650141709</v>
      </c>
      <c r="O42" s="32">
        <f>VLOOKUP($A42,Calculator!$A:$AZ,41,FALSE)</f>
        <v>4.5</v>
      </c>
      <c r="P42" s="1">
        <f>VLOOKUP($A42,Calculator!$A:$AZ,42,FALSE)</f>
        <v>0</v>
      </c>
      <c r="Q42" s="1" t="str">
        <f>VLOOKUP($A42,Calculator!$A:$AZ,43,FALSE)</f>
        <v>No data</v>
      </c>
      <c r="R42" s="32">
        <f>IF(5="No Data","No Data",O42/(13-IF(O42&lt;13,VLOOKUP($A42,'Data Gaps'!$A:$Z,12,FALSE),0)))</f>
        <v>0.34615384615384615</v>
      </c>
      <c r="S42" s="1">
        <f>IF(P42="No Data","No Data",P42/(8-IF(P42&lt;8,VLOOKUP($A42,'Data Gaps'!$A:$Z,13,FALSE),0)))</f>
        <v>0</v>
      </c>
      <c r="T42" s="1" t="str">
        <f>IF(Q42="No Data","No Data",Q42/(9-IF(Q42&lt;9,VLOOKUP($A42,'Data Gaps'!$A:$Z,14,FALSE),0)))</f>
        <v>No Data</v>
      </c>
      <c r="U42" s="32">
        <f t="shared" si="4"/>
        <v>35.583256088508783</v>
      </c>
    </row>
    <row r="43" spans="1:21" x14ac:dyDescent="0.35">
      <c r="A43" s="1" t="s">
        <v>63</v>
      </c>
      <c r="B43" s="28" t="s">
        <v>146</v>
      </c>
      <c r="C43" s="1" t="s">
        <v>12</v>
      </c>
      <c r="D43" s="1" t="s">
        <v>13</v>
      </c>
      <c r="E43" s="28" t="s">
        <v>9</v>
      </c>
      <c r="F43" s="28" t="s">
        <v>162</v>
      </c>
      <c r="G43" s="28" t="str">
        <f>VLOOKUP($A43,'EBA2017'!$A:$G,7,FALSE)</f>
        <v>Two</v>
      </c>
      <c r="H43" s="32">
        <f>VLOOKUP($A43,Calculator!$A:$AZ,44,FALSE)</f>
        <v>3</v>
      </c>
      <c r="I43" s="28">
        <f t="shared" si="0"/>
        <v>0.25</v>
      </c>
      <c r="J43" s="32">
        <f>VLOOKUP($A43,Calculator!$A:$AZ,45,FALSE)</f>
        <v>8</v>
      </c>
      <c r="K43" s="28">
        <f t="shared" si="1"/>
        <v>0.27272727272727271</v>
      </c>
      <c r="L43" s="42">
        <f>VLOOKUP($A43,Calculator!$A:$AZ,46,FALSE)</f>
        <v>2.0343876355659791</v>
      </c>
      <c r="M43" s="43">
        <f t="shared" si="2"/>
        <v>0.61149215498196374</v>
      </c>
      <c r="N43" s="42">
        <f t="shared" si="3"/>
        <v>0.37807314256974545</v>
      </c>
      <c r="O43" s="32">
        <f>VLOOKUP($A43,Calculator!$A:$AZ,41,FALSE)</f>
        <v>6.15</v>
      </c>
      <c r="P43" s="1">
        <f>VLOOKUP($A43,Calculator!$A:$AZ,42,FALSE)</f>
        <v>6</v>
      </c>
      <c r="Q43" s="1">
        <f>VLOOKUP($A43,Calculator!$A:$AZ,43,FALSE)</f>
        <v>4.5</v>
      </c>
      <c r="R43" s="32">
        <f>IF(5="No Data","No Data",O43/(13-IF(O43&lt;13,VLOOKUP($A43,'Data Gaps'!$A:$Z,12,FALSE),0)))</f>
        <v>0.47307692307692312</v>
      </c>
      <c r="S43" s="1">
        <f>IF(P43="No Data","No Data",P43/(8-IF(P43&lt;8,VLOOKUP($A43,'Data Gaps'!$A:$Z,13,FALSE),0)))</f>
        <v>0.75</v>
      </c>
      <c r="T43" s="1">
        <f>IF(Q43="No Data","No Data",Q43/(9-IF(Q43&lt;9,VLOOKUP($A43,'Data Gaps'!$A:$Z,14,FALSE),0)))</f>
        <v>0.5</v>
      </c>
      <c r="U43" s="32">
        <f t="shared" si="4"/>
        <v>52.528751641166714</v>
      </c>
    </row>
    <row r="44" spans="1:21" x14ac:dyDescent="0.35">
      <c r="A44" s="1" t="s">
        <v>66</v>
      </c>
      <c r="B44" s="28" t="s">
        <v>67</v>
      </c>
      <c r="C44" s="1" t="s">
        <v>49</v>
      </c>
      <c r="D44" s="1" t="s">
        <v>50</v>
      </c>
      <c r="E44" s="28" t="s">
        <v>25</v>
      </c>
      <c r="F44" s="28" t="s">
        <v>161</v>
      </c>
      <c r="G44" s="28" t="str">
        <f>VLOOKUP($A44,'EBA2017'!$A:$G,7,FALSE)</f>
        <v>Two</v>
      </c>
      <c r="H44" s="32">
        <f>VLOOKUP($A44,Calculator!$A:$AZ,44,FALSE)</f>
        <v>1</v>
      </c>
      <c r="I44" s="28">
        <f t="shared" si="0"/>
        <v>0.75</v>
      </c>
      <c r="J44" s="32">
        <f>VLOOKUP($A44,Calculator!$A:$AZ,45,FALSE)</f>
        <v>1</v>
      </c>
      <c r="K44" s="28">
        <f t="shared" si="1"/>
        <v>0.90909090909090906</v>
      </c>
      <c r="L44" s="42">
        <f>VLOOKUP($A44,Calculator!$A:$AZ,46,FALSE)</f>
        <v>0.12997684628439585</v>
      </c>
      <c r="M44" s="43">
        <f t="shared" si="2"/>
        <v>0.97517826810909491</v>
      </c>
      <c r="N44" s="42">
        <f t="shared" si="3"/>
        <v>0.87808972573333477</v>
      </c>
      <c r="O44" s="32">
        <f>VLOOKUP($A44,Calculator!$A:$AZ,41,FALSE)</f>
        <v>5.85</v>
      </c>
      <c r="P44" s="1">
        <f>VLOOKUP($A44,Calculator!$A:$AZ,42,FALSE)</f>
        <v>4.5</v>
      </c>
      <c r="Q44" s="1">
        <f>VLOOKUP($A44,Calculator!$A:$AZ,43,FALSE)</f>
        <v>6</v>
      </c>
      <c r="R44" s="32">
        <f>IF(5="No Data","No Data",O44/(13-IF(O44&lt;13,VLOOKUP($A44,'Data Gaps'!$A:$Z,12,FALSE),0)))</f>
        <v>0.44999999999999996</v>
      </c>
      <c r="S44" s="1">
        <f>IF(P44="No Data","No Data",P44/(8-IF(P44&lt;8,VLOOKUP($A44,'Data Gaps'!$A:$Z,13,FALSE),0)))</f>
        <v>0.5625</v>
      </c>
      <c r="T44" s="1">
        <f>IF(Q44="No Data","No Data",Q44/(9-IF(Q44&lt;9,VLOOKUP($A44,'Data Gaps'!$A:$Z,14,FALSE),0)))</f>
        <v>0.66666666666666663</v>
      </c>
      <c r="U44" s="32">
        <f t="shared" si="4"/>
        <v>63.931409810000027</v>
      </c>
    </row>
    <row r="45" spans="1:21" x14ac:dyDescent="0.35">
      <c r="A45" s="1" t="s">
        <v>70</v>
      </c>
      <c r="B45" s="28" t="s">
        <v>71</v>
      </c>
      <c r="C45" s="1" t="s">
        <v>16</v>
      </c>
      <c r="D45" s="1" t="s">
        <v>17</v>
      </c>
      <c r="E45" s="28" t="s">
        <v>9</v>
      </c>
      <c r="F45" s="28" t="s">
        <v>160</v>
      </c>
      <c r="G45" s="28" t="str">
        <f>VLOOKUP($A45,'EBA2017'!$A:$G,7,FALSE)</f>
        <v>Two</v>
      </c>
      <c r="H45" s="32">
        <f>VLOOKUP($A45,Calculator!$A:$AZ,44,FALSE)</f>
        <v>4</v>
      </c>
      <c r="I45" s="28">
        <f t="shared" si="0"/>
        <v>0</v>
      </c>
      <c r="J45" s="32">
        <f>VLOOKUP($A45,Calculator!$A:$AZ,45,FALSE)</f>
        <v>4</v>
      </c>
      <c r="K45" s="28">
        <f t="shared" si="1"/>
        <v>0.63636363636363635</v>
      </c>
      <c r="L45" s="42">
        <f>VLOOKUP($A45,Calculator!$A:$AZ,46,FALSE)</f>
        <v>5.5985395488351362</v>
      </c>
      <c r="M45" s="43">
        <f t="shared" si="2"/>
        <v>0</v>
      </c>
      <c r="N45" s="42">
        <f t="shared" si="3"/>
        <v>0.21212121212121213</v>
      </c>
      <c r="O45" s="32">
        <f>VLOOKUP($A45,Calculator!$A:$AZ,41,FALSE)</f>
        <v>6.9</v>
      </c>
      <c r="P45" s="1">
        <f>VLOOKUP($A45,Calculator!$A:$AZ,42,FALSE)</f>
        <v>1.5</v>
      </c>
      <c r="Q45" s="1">
        <f>VLOOKUP($A45,Calculator!$A:$AZ,43,FALSE)</f>
        <v>3.5</v>
      </c>
      <c r="R45" s="32">
        <f>IF(5="No Data","No Data",O45/(13-IF(O45&lt;13,VLOOKUP($A45,'Data Gaps'!$A:$Z,12,FALSE),0)))</f>
        <v>0.53076923076923077</v>
      </c>
      <c r="S45" s="1">
        <f>IF(P45="No Data","No Data",P45/(8-IF(P45&lt;8,VLOOKUP($A45,'Data Gaps'!$A:$Z,13,FALSE),0)))</f>
        <v>0.1875</v>
      </c>
      <c r="T45" s="1">
        <f>IF(Q45="No Data","No Data",Q45/(9-IF(Q45&lt;9,VLOOKUP($A45,'Data Gaps'!$A:$Z,14,FALSE),0)))</f>
        <v>0.3888888888888889</v>
      </c>
      <c r="U45" s="32">
        <f t="shared" si="4"/>
        <v>32.9819832944833</v>
      </c>
    </row>
    <row r="46" spans="1:21" x14ac:dyDescent="0.35">
      <c r="A46" s="1" t="s">
        <v>30</v>
      </c>
      <c r="B46" s="28" t="s">
        <v>31</v>
      </c>
      <c r="C46" s="1" t="s">
        <v>32</v>
      </c>
      <c r="D46" s="1" t="s">
        <v>33</v>
      </c>
      <c r="E46" s="29" t="s">
        <v>9</v>
      </c>
      <c r="F46" s="28" t="s">
        <v>162</v>
      </c>
      <c r="G46" s="28" t="str">
        <f>VLOOKUP($A46,'EBA2017'!$A:$G,7,FALSE)</f>
        <v>Two</v>
      </c>
      <c r="H46" s="32">
        <f>VLOOKUP($A46,Calculator!$A:$AZ,44,FALSE)</f>
        <v>2</v>
      </c>
      <c r="I46" s="28">
        <f t="shared" si="0"/>
        <v>0.5</v>
      </c>
      <c r="J46" s="32">
        <f>VLOOKUP($A46,Calculator!$A:$AZ,45,FALSE)</f>
        <v>6</v>
      </c>
      <c r="K46" s="28">
        <f t="shared" si="1"/>
        <v>0.45454545454545453</v>
      </c>
      <c r="L46" s="42">
        <f>VLOOKUP($A46,Calculator!$A:$AZ,46,FALSE)</f>
        <v>5.2364132710667244</v>
      </c>
      <c r="M46" s="43">
        <f t="shared" si="2"/>
        <v>0</v>
      </c>
      <c r="N46" s="42">
        <f t="shared" si="3"/>
        <v>0.31818181818181818</v>
      </c>
      <c r="O46" s="32">
        <f>VLOOKUP($A46,Calculator!$A:$AZ,41,FALSE)</f>
        <v>8.75</v>
      </c>
      <c r="P46" s="1">
        <f>VLOOKUP($A46,Calculator!$A:$AZ,42,FALSE)</f>
        <v>3</v>
      </c>
      <c r="Q46" s="1">
        <f>VLOOKUP($A46,Calculator!$A:$AZ,43,FALSE)</f>
        <v>5.5</v>
      </c>
      <c r="R46" s="32">
        <f>IF(5="No Data","No Data",O46/(13-IF(O46&lt;13,VLOOKUP($A46,'Data Gaps'!$A:$Z,12,FALSE),0)))</f>
        <v>0.67307692307692313</v>
      </c>
      <c r="S46" s="1">
        <f>IF(P46="No Data","No Data",P46/(8-IF(P46&lt;8,VLOOKUP($A46,'Data Gaps'!$A:$Z,13,FALSE),0)))</f>
        <v>0.375</v>
      </c>
      <c r="T46" s="1">
        <f>IF(Q46="No Data","No Data",Q46/(9-IF(Q46&lt;9,VLOOKUP($A46,'Data Gaps'!$A:$Z,14,FALSE),0)))</f>
        <v>0.61111111111111116</v>
      </c>
      <c r="U46" s="32">
        <f t="shared" si="4"/>
        <v>49.434246309246312</v>
      </c>
    </row>
    <row r="47" spans="1:21" x14ac:dyDescent="0.35">
      <c r="A47" s="1" t="s">
        <v>76</v>
      </c>
      <c r="B47" s="28" t="s">
        <v>77</v>
      </c>
      <c r="C47" s="1" t="s">
        <v>32</v>
      </c>
      <c r="D47" s="1" t="s">
        <v>33</v>
      </c>
      <c r="E47" s="28" t="s">
        <v>9</v>
      </c>
      <c r="F47" s="28" t="s">
        <v>160</v>
      </c>
      <c r="G47" s="28" t="str">
        <f>VLOOKUP($A47,'EBA2017'!$A:$G,7,FALSE)</f>
        <v>Two</v>
      </c>
      <c r="H47" s="32">
        <f>VLOOKUP($A47,Calculator!$A:$AZ,44,FALSE)</f>
        <v>2</v>
      </c>
      <c r="I47" s="28">
        <f t="shared" si="0"/>
        <v>0.5</v>
      </c>
      <c r="J47" s="32">
        <f>VLOOKUP($A47,Calculator!$A:$AZ,45,FALSE)</f>
        <v>3</v>
      </c>
      <c r="K47" s="28">
        <f t="shared" si="1"/>
        <v>0.72727272727272729</v>
      </c>
      <c r="L47" s="42">
        <f>VLOOKUP($A47,Calculator!$A:$AZ,46,FALSE)</f>
        <v>4.7665737052130615</v>
      </c>
      <c r="M47" s="43">
        <f t="shared" si="2"/>
        <v>8.9725455484904959E-2</v>
      </c>
      <c r="N47" s="42">
        <f t="shared" si="3"/>
        <v>0.43899939425254408</v>
      </c>
      <c r="O47" s="32">
        <f>VLOOKUP($A47,Calculator!$A:$AZ,41,FALSE)</f>
        <v>7</v>
      </c>
      <c r="P47" s="1">
        <f>VLOOKUP($A47,Calculator!$A:$AZ,42,FALSE)</f>
        <v>4.5</v>
      </c>
      <c r="Q47" s="1">
        <f>VLOOKUP($A47,Calculator!$A:$AZ,43,FALSE)</f>
        <v>6</v>
      </c>
      <c r="R47" s="32">
        <f>IF(5="No Data","No Data",O47/(13-IF(O47&lt;13,VLOOKUP($A47,'Data Gaps'!$A:$Z,12,FALSE),0)))</f>
        <v>0.53846153846153844</v>
      </c>
      <c r="S47" s="1">
        <f>IF(P47="No Data","No Data",P47/(8-IF(P47&lt;8,VLOOKUP($A47,'Data Gaps'!$A:$Z,13,FALSE),0)))</f>
        <v>0.5625</v>
      </c>
      <c r="T47" s="1">
        <f>IF(Q47="No Data","No Data",Q47/(9-IF(Q47&lt;9,VLOOKUP($A47,'Data Gaps'!$A:$Z,14,FALSE),0)))</f>
        <v>0.66666666666666663</v>
      </c>
      <c r="U47" s="32">
        <f t="shared" si="4"/>
        <v>55.165689984518728</v>
      </c>
    </row>
    <row r="48" spans="1:21" x14ac:dyDescent="0.35">
      <c r="A48" s="1" t="s">
        <v>122</v>
      </c>
      <c r="B48" s="28" t="s">
        <v>123</v>
      </c>
      <c r="C48" s="1" t="s">
        <v>12</v>
      </c>
      <c r="D48" s="1" t="s">
        <v>13</v>
      </c>
      <c r="E48" s="29" t="s">
        <v>9</v>
      </c>
      <c r="F48" s="28" t="s">
        <v>160</v>
      </c>
      <c r="G48" s="28" t="str">
        <f>VLOOKUP($A48,'EBA2017'!$A:$G,7,FALSE)</f>
        <v>Two</v>
      </c>
      <c r="H48" s="32">
        <f>VLOOKUP($A48,Calculator!$A:$AZ,44,FALSE)</f>
        <v>3</v>
      </c>
      <c r="I48" s="28">
        <f t="shared" si="0"/>
        <v>0.25</v>
      </c>
      <c r="J48" s="32">
        <f>VLOOKUP($A48,Calculator!$A:$AZ,45,FALSE)</f>
        <v>4</v>
      </c>
      <c r="K48" s="28">
        <f t="shared" si="1"/>
        <v>0.63636363636363635</v>
      </c>
      <c r="L48" s="42">
        <f>VLOOKUP($A48,Calculator!$A:$AZ,46,FALSE)</f>
        <v>7.1205523749965458</v>
      </c>
      <c r="M48" s="43">
        <f t="shared" si="2"/>
        <v>0</v>
      </c>
      <c r="N48" s="42">
        <f t="shared" si="3"/>
        <v>0.29545454545454547</v>
      </c>
      <c r="O48" s="32">
        <f>VLOOKUP($A48,Calculator!$A:$AZ,41,FALSE)</f>
        <v>6.9</v>
      </c>
      <c r="P48" s="1">
        <f>VLOOKUP($A48,Calculator!$A:$AZ,42,FALSE)</f>
        <v>2</v>
      </c>
      <c r="Q48" s="1">
        <f>VLOOKUP($A48,Calculator!$A:$AZ,43,FALSE)</f>
        <v>2.5</v>
      </c>
      <c r="R48" s="32">
        <f>IF(5="No Data","No Data",O48/(13-IF(O48&lt;13,VLOOKUP($A48,'Data Gaps'!$A:$Z,12,FALSE),0)))</f>
        <v>0.53076923076923077</v>
      </c>
      <c r="S48" s="1">
        <f>IF(P48="No Data","No Data",P48/(8-IF(P48&lt;8,VLOOKUP($A48,'Data Gaps'!$A:$Z,13,FALSE),0)))</f>
        <v>0.25</v>
      </c>
      <c r="T48" s="1">
        <f>IF(Q48="No Data","No Data",Q48/(9-IF(Q48&lt;9,VLOOKUP($A48,'Data Gaps'!$A:$Z,14,FALSE),0)))</f>
        <v>0.27777777777777779</v>
      </c>
      <c r="U48" s="32">
        <f t="shared" si="4"/>
        <v>33.850038850038857</v>
      </c>
    </row>
    <row r="49" spans="1:21" x14ac:dyDescent="0.35">
      <c r="A49" s="1" t="s">
        <v>88</v>
      </c>
      <c r="B49" s="28" t="s">
        <v>89</v>
      </c>
      <c r="C49" s="1" t="s">
        <v>49</v>
      </c>
      <c r="D49" s="1" t="s">
        <v>50</v>
      </c>
      <c r="E49" s="28" t="s">
        <v>9</v>
      </c>
      <c r="F49" s="28" t="s">
        <v>161</v>
      </c>
      <c r="G49" s="28" t="str">
        <f>VLOOKUP($A49,'EBA2017'!$A:$G,7,FALSE)</f>
        <v>Two</v>
      </c>
      <c r="H49" s="32">
        <f>VLOOKUP($A49,Calculator!$A:$AZ,44,FALSE)</f>
        <v>2</v>
      </c>
      <c r="I49" s="28">
        <f t="shared" si="0"/>
        <v>0.5</v>
      </c>
      <c r="J49" s="32">
        <f>VLOOKUP($A49,Calculator!$A:$AZ,45,FALSE)</f>
        <v>4</v>
      </c>
      <c r="K49" s="28">
        <f t="shared" si="1"/>
        <v>0.63636363636363635</v>
      </c>
      <c r="L49" s="42">
        <f>VLOOKUP($A49,Calculator!$A:$AZ,46,FALSE)</f>
        <v>0.54397281542709486</v>
      </c>
      <c r="M49" s="43">
        <f t="shared" si="2"/>
        <v>0.89611728729801332</v>
      </c>
      <c r="N49" s="42">
        <f t="shared" si="3"/>
        <v>0.67749364122054978</v>
      </c>
      <c r="O49" s="32">
        <f>VLOOKUP($A49,Calculator!$A:$AZ,41,FALSE)</f>
        <v>6.8</v>
      </c>
      <c r="P49" s="1">
        <f>VLOOKUP($A49,Calculator!$A:$AZ,42,FALSE)</f>
        <v>6.5</v>
      </c>
      <c r="Q49" s="1">
        <f>VLOOKUP($A49,Calculator!$A:$AZ,43,FALSE)</f>
        <v>5</v>
      </c>
      <c r="R49" s="32">
        <f>IF(5="No Data","No Data",O49/(13-IF(O49&lt;13,VLOOKUP($A49,'Data Gaps'!$A:$Z,12,FALSE),0)))</f>
        <v>0.52307692307692311</v>
      </c>
      <c r="S49" s="1">
        <f>IF(P49="No Data","No Data",P49/(8-IF(P49&lt;8,VLOOKUP($A49,'Data Gaps'!$A:$Z,13,FALSE),0)))</f>
        <v>0.8125</v>
      </c>
      <c r="T49" s="1">
        <f>IF(Q49="No Data","No Data",Q49/(9-IF(Q49&lt;9,VLOOKUP($A49,'Data Gaps'!$A:$Z,14,FALSE),0)))</f>
        <v>0.55555555555555558</v>
      </c>
      <c r="U49" s="32">
        <f t="shared" si="4"/>
        <v>64.215652996325701</v>
      </c>
    </row>
    <row r="50" spans="1:21" x14ac:dyDescent="0.35">
      <c r="A50" s="1" t="s">
        <v>86</v>
      </c>
      <c r="B50" s="28" t="s">
        <v>87</v>
      </c>
      <c r="C50" s="1" t="s">
        <v>21</v>
      </c>
      <c r="D50" s="1" t="s">
        <v>22</v>
      </c>
      <c r="E50" s="28" t="s">
        <v>25</v>
      </c>
      <c r="F50" s="28" t="s">
        <v>161</v>
      </c>
      <c r="G50" s="28" t="str">
        <f>VLOOKUP($A50,'EBA2017'!$A:$G,7,FALSE)</f>
        <v>Two</v>
      </c>
      <c r="H50" s="32">
        <f>VLOOKUP($A50,Calculator!$A:$AZ,44,FALSE)</f>
        <v>1</v>
      </c>
      <c r="I50" s="28">
        <f t="shared" si="0"/>
        <v>0.75</v>
      </c>
      <c r="J50" s="32">
        <f>VLOOKUP($A50,Calculator!$A:$AZ,45,FALSE)</f>
        <v>1</v>
      </c>
      <c r="K50" s="28">
        <f t="shared" si="1"/>
        <v>0.90909090909090906</v>
      </c>
      <c r="L50" s="42">
        <f>VLOOKUP($A50,Calculator!$A:$AZ,46,FALSE)</f>
        <v>0.33456442030230626</v>
      </c>
      <c r="M50" s="43">
        <f t="shared" si="2"/>
        <v>0.93610809480013579</v>
      </c>
      <c r="N50" s="42">
        <f t="shared" si="3"/>
        <v>0.86506633463034832</v>
      </c>
      <c r="O50" s="32">
        <f>VLOOKUP($A50,Calculator!$A:$AZ,41,FALSE)</f>
        <v>9.75</v>
      </c>
      <c r="P50" s="1">
        <f>VLOOKUP($A50,Calculator!$A:$AZ,42,FALSE)</f>
        <v>7</v>
      </c>
      <c r="Q50" s="1">
        <f>VLOOKUP($A50,Calculator!$A:$AZ,43,FALSE)</f>
        <v>7.5</v>
      </c>
      <c r="R50" s="32">
        <f>IF(5="No Data","No Data",O50/(13-IF(O50&lt;13,VLOOKUP($A50,'Data Gaps'!$A:$Z,12,FALSE),0)))</f>
        <v>0.75</v>
      </c>
      <c r="S50" s="1">
        <f>IF(P50="No Data","No Data",P50/(8-IF(P50&lt;8,VLOOKUP($A50,'Data Gaps'!$A:$Z,13,FALSE),0)))</f>
        <v>0.875</v>
      </c>
      <c r="T50" s="1">
        <f>IF(Q50="No Data","No Data",Q50/(9-IF(Q50&lt;9,VLOOKUP($A50,'Data Gaps'!$A:$Z,14,FALSE),0)))</f>
        <v>0.83333333333333337</v>
      </c>
      <c r="U50" s="32">
        <f t="shared" si="4"/>
        <v>83.084991699092043</v>
      </c>
    </row>
    <row r="51" spans="1:21" x14ac:dyDescent="0.35">
      <c r="A51" s="1" t="s">
        <v>92</v>
      </c>
      <c r="B51" s="28" t="s">
        <v>93</v>
      </c>
      <c r="C51" s="1" t="s">
        <v>32</v>
      </c>
      <c r="D51" s="1" t="s">
        <v>33</v>
      </c>
      <c r="E51" s="28" t="s">
        <v>9</v>
      </c>
      <c r="F51" s="28" t="s">
        <v>161</v>
      </c>
      <c r="G51" s="28" t="str">
        <f>VLOOKUP($A51,'EBA2017'!$A:$G,7,FALSE)</f>
        <v>Two</v>
      </c>
      <c r="H51" s="32">
        <f>VLOOKUP($A51,Calculator!$A:$AZ,44,FALSE)</f>
        <v>2</v>
      </c>
      <c r="I51" s="28">
        <f t="shared" si="0"/>
        <v>0.5</v>
      </c>
      <c r="J51" s="32">
        <f>VLOOKUP($A51,Calculator!$A:$AZ,45,FALSE)</f>
        <v>4</v>
      </c>
      <c r="K51" s="28">
        <f t="shared" si="1"/>
        <v>0.63636363636363635</v>
      </c>
      <c r="L51" s="42">
        <f>VLOOKUP($A51,Calculator!$A:$AZ,46,FALSE)</f>
        <v>1.1722100674374807</v>
      </c>
      <c r="M51" s="43">
        <f t="shared" si="2"/>
        <v>0.77614256042119345</v>
      </c>
      <c r="N51" s="42">
        <f t="shared" si="3"/>
        <v>0.63750206559494327</v>
      </c>
      <c r="O51" s="32">
        <f>VLOOKUP($A51,Calculator!$A:$AZ,41,FALSE)</f>
        <v>6.5</v>
      </c>
      <c r="P51" s="1">
        <f>VLOOKUP($A51,Calculator!$A:$AZ,42,FALSE)</f>
        <v>0</v>
      </c>
      <c r="Q51" s="1">
        <f>VLOOKUP($A51,Calculator!$A:$AZ,43,FALSE)</f>
        <v>5</v>
      </c>
      <c r="R51" s="32">
        <f>IF(5="No Data","No Data",O51/(13-IF(O51&lt;13,VLOOKUP($A51,'Data Gaps'!$A:$Z,12,FALSE),0)))</f>
        <v>0.5</v>
      </c>
      <c r="S51" s="1">
        <f>IF(P51="No Data","No Data",P51/(8-IF(P51&lt;8,VLOOKUP($A51,'Data Gaps'!$A:$Z,13,FALSE),0)))</f>
        <v>0</v>
      </c>
      <c r="T51" s="1">
        <f>IF(Q51="No Data","No Data",Q51/(9-IF(Q51&lt;9,VLOOKUP($A51,'Data Gaps'!$A:$Z,14,FALSE),0)))</f>
        <v>0.55555555555555558</v>
      </c>
      <c r="U51" s="32">
        <f t="shared" si="4"/>
        <v>42.326440528762468</v>
      </c>
    </row>
    <row r="52" spans="1:21" x14ac:dyDescent="0.35">
      <c r="A52" s="1" t="s">
        <v>90</v>
      </c>
      <c r="B52" s="28" t="s">
        <v>91</v>
      </c>
      <c r="C52" s="1" t="s">
        <v>16</v>
      </c>
      <c r="D52" s="1" t="s">
        <v>17</v>
      </c>
      <c r="E52" s="28" t="s">
        <v>18</v>
      </c>
      <c r="F52" s="28" t="s">
        <v>159</v>
      </c>
      <c r="G52" s="28" t="str">
        <f>VLOOKUP($A52,'EBA2017'!$A:$G,7,FALSE)</f>
        <v>Two</v>
      </c>
      <c r="H52" s="32">
        <f>VLOOKUP($A52,Calculator!$A:$AZ,44,FALSE)</f>
        <v>1</v>
      </c>
      <c r="I52" s="28">
        <f t="shared" si="0"/>
        <v>0.75</v>
      </c>
      <c r="J52" s="32">
        <f>VLOOKUP($A52,Calculator!$A:$AZ,45,FALSE)</f>
        <v>7</v>
      </c>
      <c r="K52" s="28">
        <f t="shared" si="1"/>
        <v>0.36363636363636365</v>
      </c>
      <c r="L52" s="42">
        <f>VLOOKUP($A52,Calculator!$A:$AZ,46,FALSE)</f>
        <v>1.9986517102640489</v>
      </c>
      <c r="M52" s="43">
        <f t="shared" si="2"/>
        <v>0.61831665936159041</v>
      </c>
      <c r="N52" s="42">
        <f t="shared" si="3"/>
        <v>0.57731767433265135</v>
      </c>
      <c r="O52" s="32">
        <f>VLOOKUP($A52,Calculator!$A:$AZ,41,FALSE)</f>
        <v>8.1</v>
      </c>
      <c r="P52" s="1">
        <f>VLOOKUP($A52,Calculator!$A:$AZ,42,FALSE)</f>
        <v>5</v>
      </c>
      <c r="Q52" s="1">
        <f>VLOOKUP($A52,Calculator!$A:$AZ,43,FALSE)</f>
        <v>5</v>
      </c>
      <c r="R52" s="32">
        <f>IF(5="No Data","No Data",O52/(13-IF(O52&lt;13,VLOOKUP($A52,'Data Gaps'!$A:$Z,12,FALSE),0)))</f>
        <v>0.62307692307692308</v>
      </c>
      <c r="S52" s="1">
        <f>IF(P52="No Data","No Data",P52/(8-IF(P52&lt;8,VLOOKUP($A52,'Data Gaps'!$A:$Z,13,FALSE),0)))</f>
        <v>0.625</v>
      </c>
      <c r="T52" s="1">
        <f>IF(Q52="No Data","No Data",Q52/(9-IF(Q52&lt;9,VLOOKUP($A52,'Data Gaps'!$A:$Z,14,FALSE),0)))</f>
        <v>0.55555555555555558</v>
      </c>
      <c r="U52" s="32">
        <f t="shared" si="4"/>
        <v>59.523753824128242</v>
      </c>
    </row>
    <row r="53" spans="1:21" x14ac:dyDescent="0.35">
      <c r="A53" s="1" t="s">
        <v>80</v>
      </c>
      <c r="B53" s="28" t="s">
        <v>81</v>
      </c>
      <c r="C53" s="1" t="s">
        <v>16</v>
      </c>
      <c r="D53" s="1" t="s">
        <v>17</v>
      </c>
      <c r="E53" s="28" t="s">
        <v>18</v>
      </c>
      <c r="F53" s="28" t="s">
        <v>160</v>
      </c>
      <c r="G53" s="28" t="str">
        <f>VLOOKUP($A53,'EBA2017'!$A:$G,7,FALSE)</f>
        <v>Two</v>
      </c>
      <c r="H53" s="32">
        <f>VLOOKUP($A53,Calculator!$A:$AZ,44,FALSE)</f>
        <v>1</v>
      </c>
      <c r="I53" s="28">
        <f t="shared" si="0"/>
        <v>0.75</v>
      </c>
      <c r="J53" s="32">
        <f>VLOOKUP($A53,Calculator!$A:$AZ,45,FALSE)</f>
        <v>1</v>
      </c>
      <c r="K53" s="28">
        <f t="shared" si="1"/>
        <v>0.90909090909090906</v>
      </c>
      <c r="L53" s="42">
        <f>VLOOKUP($A53,Calculator!$A:$AZ,46,FALSE)</f>
        <v>2.7542309861761289</v>
      </c>
      <c r="M53" s="43">
        <f t="shared" si="2"/>
        <v>0.47402337370994846</v>
      </c>
      <c r="N53" s="42">
        <f t="shared" si="3"/>
        <v>0.71103809426695264</v>
      </c>
      <c r="O53" s="32">
        <f>VLOOKUP($A53,Calculator!$A:$AZ,41,FALSE)</f>
        <v>8.9500000000000011</v>
      </c>
      <c r="P53" s="1">
        <f>VLOOKUP($A53,Calculator!$A:$AZ,42,FALSE)</f>
        <v>3</v>
      </c>
      <c r="Q53" s="1">
        <f>VLOOKUP($A53,Calculator!$A:$AZ,43,FALSE)</f>
        <v>4.5</v>
      </c>
      <c r="R53" s="32">
        <f>IF(5="No Data","No Data",O53/(13-IF(O53&lt;13,VLOOKUP($A53,'Data Gaps'!$A:$Z,12,FALSE),0)))</f>
        <v>0.68846153846153857</v>
      </c>
      <c r="S53" s="1">
        <f>IF(P53="No Data","No Data",P53/(8-IF(P53&lt;8,VLOOKUP($A53,'Data Gaps'!$A:$Z,13,FALSE),0)))</f>
        <v>0.375</v>
      </c>
      <c r="T53" s="1">
        <f>IF(Q53="No Data","No Data",Q53/(9-IF(Q53&lt;9,VLOOKUP($A53,'Data Gaps'!$A:$Z,14,FALSE),0)))</f>
        <v>0.5</v>
      </c>
      <c r="U53" s="32">
        <f t="shared" si="4"/>
        <v>56.862490818212287</v>
      </c>
    </row>
    <row r="54" spans="1:21" x14ac:dyDescent="0.35">
      <c r="A54" s="1" t="s">
        <v>82</v>
      </c>
      <c r="B54" s="28" t="s">
        <v>83</v>
      </c>
      <c r="C54" s="1" t="s">
        <v>32</v>
      </c>
      <c r="D54" s="1" t="s">
        <v>33</v>
      </c>
      <c r="E54" s="28" t="s">
        <v>25</v>
      </c>
      <c r="F54" s="28" t="s">
        <v>161</v>
      </c>
      <c r="G54" s="28" t="str">
        <f>VLOOKUP($A54,'EBA2017'!$A:$G,7,FALSE)</f>
        <v>Two</v>
      </c>
      <c r="H54" s="32">
        <f>VLOOKUP($A54,Calculator!$A:$AZ,44,FALSE)</f>
        <v>2</v>
      </c>
      <c r="I54" s="28">
        <f t="shared" si="0"/>
        <v>0.5</v>
      </c>
      <c r="J54" s="32" t="str">
        <f>VLOOKUP($A54,Calculator!$A:$AZ,45,FALSE)</f>
        <v>No data</v>
      </c>
      <c r="K54" s="28" t="str">
        <f t="shared" si="1"/>
        <v>No data</v>
      </c>
      <c r="L54" s="42">
        <f>VLOOKUP($A54,Calculator!$A:$AZ,46,FALSE)</f>
        <v>4.9093637070553656E-2</v>
      </c>
      <c r="M54" s="43">
        <f t="shared" si="2"/>
        <v>0.99062456789997544</v>
      </c>
      <c r="N54" s="42">
        <f t="shared" si="3"/>
        <v>0.74531228394998772</v>
      </c>
      <c r="O54" s="32">
        <f>VLOOKUP($A54,Calculator!$A:$AZ,41,FALSE)</f>
        <v>4.9000000000000004</v>
      </c>
      <c r="P54" s="1">
        <f>VLOOKUP($A54,Calculator!$A:$AZ,42,FALSE)</f>
        <v>4</v>
      </c>
      <c r="Q54" s="1">
        <f>VLOOKUP($A54,Calculator!$A:$AZ,43,FALSE)</f>
        <v>3.5</v>
      </c>
      <c r="R54" s="32">
        <f>IF(5="No Data","No Data",O54/(13-IF(O54&lt;13,VLOOKUP($A54,'Data Gaps'!$A:$Z,12,FALSE),0)))</f>
        <v>0.37692307692307697</v>
      </c>
      <c r="S54" s="1">
        <f>IF(P54="No Data","No Data",P54/(8-IF(P54&lt;8,VLOOKUP($A54,'Data Gaps'!$A:$Z,13,FALSE),0)))</f>
        <v>0.5</v>
      </c>
      <c r="T54" s="1">
        <f>IF(Q54="No Data","No Data",Q54/(9-IF(Q54&lt;9,VLOOKUP($A54,'Data Gaps'!$A:$Z,14,FALSE),0)))</f>
        <v>0.5</v>
      </c>
      <c r="U54" s="32">
        <f t="shared" si="4"/>
        <v>53.055884021826614</v>
      </c>
    </row>
    <row r="55" spans="1:21" x14ac:dyDescent="0.35">
      <c r="A55" s="1" t="s">
        <v>100</v>
      </c>
      <c r="B55" s="28" t="s">
        <v>101</v>
      </c>
      <c r="C55" s="1" t="s">
        <v>16</v>
      </c>
      <c r="D55" s="1" t="s">
        <v>17</v>
      </c>
      <c r="E55" s="28" t="s">
        <v>18</v>
      </c>
      <c r="F55" s="28" t="s">
        <v>161</v>
      </c>
      <c r="G55" s="28" t="str">
        <f>VLOOKUP($A55,'EBA2017'!$A:$G,7,FALSE)</f>
        <v>Two</v>
      </c>
      <c r="H55" s="32">
        <f>VLOOKUP($A55,Calculator!$A:$AZ,44,FALSE)</f>
        <v>1</v>
      </c>
      <c r="I55" s="28">
        <f t="shared" si="0"/>
        <v>0.75</v>
      </c>
      <c r="J55" s="32">
        <f>VLOOKUP($A55,Calculator!$A:$AZ,45,FALSE)</f>
        <v>2</v>
      </c>
      <c r="K55" s="28">
        <f t="shared" si="1"/>
        <v>0.81818181818181823</v>
      </c>
      <c r="L55" s="42">
        <f>VLOOKUP($A55,Calculator!$A:$AZ,46,FALSE)</f>
        <v>2.3976011608253094</v>
      </c>
      <c r="M55" s="43">
        <f t="shared" si="2"/>
        <v>0.54212911840381017</v>
      </c>
      <c r="N55" s="42">
        <f t="shared" si="3"/>
        <v>0.70343697886187628</v>
      </c>
      <c r="O55" s="32">
        <f>VLOOKUP($A55,Calculator!$A:$AZ,41,FALSE)</f>
        <v>8</v>
      </c>
      <c r="P55" s="1">
        <f>VLOOKUP($A55,Calculator!$A:$AZ,42,FALSE)</f>
        <v>2</v>
      </c>
      <c r="Q55" s="1">
        <f>VLOOKUP($A55,Calculator!$A:$AZ,43,FALSE)</f>
        <v>5</v>
      </c>
      <c r="R55" s="32">
        <f>IF(5="No Data","No Data",O55/(13-IF(O55&lt;13,VLOOKUP($A55,'Data Gaps'!$A:$Z,12,FALSE),0)))</f>
        <v>0.61538461538461542</v>
      </c>
      <c r="S55" s="1">
        <f>IF(P55="No Data","No Data",P55/(8-IF(P55&lt;8,VLOOKUP($A55,'Data Gaps'!$A:$Z,13,FALSE),0)))</f>
        <v>0.25</v>
      </c>
      <c r="T55" s="1">
        <f>IF(Q55="No Data","No Data",Q55/(9-IF(Q55&lt;9,VLOOKUP($A55,'Data Gaps'!$A:$Z,14,FALSE),0)))</f>
        <v>0.55555555555555558</v>
      </c>
      <c r="U55" s="32">
        <f t="shared" si="4"/>
        <v>53.109428745051176</v>
      </c>
    </row>
    <row r="56" spans="1:21" x14ac:dyDescent="0.35">
      <c r="A56" s="1" t="s">
        <v>102</v>
      </c>
      <c r="B56" s="28" t="s">
        <v>103</v>
      </c>
      <c r="C56" s="1" t="s">
        <v>16</v>
      </c>
      <c r="D56" s="1" t="s">
        <v>17</v>
      </c>
      <c r="E56" s="29" t="s">
        <v>9</v>
      </c>
      <c r="F56" s="28" t="s">
        <v>160</v>
      </c>
      <c r="G56" s="28" t="str">
        <f>VLOOKUP($A56,'EBA2017'!$A:$G,7,FALSE)</f>
        <v>Two</v>
      </c>
      <c r="H56" s="32">
        <f>VLOOKUP($A56,Calculator!$A:$AZ,44,FALSE)</f>
        <v>2</v>
      </c>
      <c r="I56" s="28">
        <f t="shared" si="0"/>
        <v>0.5</v>
      </c>
      <c r="J56" s="32">
        <f>VLOOKUP($A56,Calculator!$A:$AZ,45,FALSE)</f>
        <v>7</v>
      </c>
      <c r="K56" s="28">
        <f t="shared" si="1"/>
        <v>0.36363636363636365</v>
      </c>
      <c r="L56" s="42">
        <f>VLOOKUP($A56,Calculator!$A:$AZ,46,FALSE)</f>
        <v>0.5443003091402191</v>
      </c>
      <c r="M56" s="43">
        <f t="shared" si="2"/>
        <v>0.89605474568867671</v>
      </c>
      <c r="N56" s="42">
        <f t="shared" si="3"/>
        <v>0.58656370310834671</v>
      </c>
      <c r="O56" s="32">
        <f>VLOOKUP($A56,Calculator!$A:$AZ,41,FALSE)</f>
        <v>7</v>
      </c>
      <c r="P56" s="1">
        <f>VLOOKUP($A56,Calculator!$A:$AZ,42,FALSE)</f>
        <v>2</v>
      </c>
      <c r="Q56" s="1">
        <f>VLOOKUP($A56,Calculator!$A:$AZ,43,FALSE)</f>
        <v>4</v>
      </c>
      <c r="R56" s="32">
        <f>IF(5="No Data","No Data",O56/(13-IF(O56&lt;13,VLOOKUP($A56,'Data Gaps'!$A:$Z,12,FALSE),0)))</f>
        <v>0.53846153846153844</v>
      </c>
      <c r="S56" s="1">
        <f>IF(P56="No Data","No Data",P56/(8-IF(P56&lt;8,VLOOKUP($A56,'Data Gaps'!$A:$Z,13,FALSE),0)))</f>
        <v>0.4</v>
      </c>
      <c r="T56" s="1">
        <f>IF(Q56="No Data","No Data",Q56/(9-IF(Q56&lt;9,VLOOKUP($A56,'Data Gaps'!$A:$Z,14,FALSE),0)))</f>
        <v>0.44444444444444442</v>
      </c>
      <c r="U56" s="32">
        <f t="shared" si="4"/>
        <v>49.236742150358239</v>
      </c>
    </row>
    <row r="57" spans="1:21" x14ac:dyDescent="0.35">
      <c r="A57" s="1" t="s">
        <v>98</v>
      </c>
      <c r="B57" s="28" t="s">
        <v>99</v>
      </c>
      <c r="C57" s="1" t="s">
        <v>21</v>
      </c>
      <c r="D57" s="1" t="s">
        <v>22</v>
      </c>
      <c r="E57" s="28" t="s">
        <v>9</v>
      </c>
      <c r="F57" s="28" t="s">
        <v>160</v>
      </c>
      <c r="G57" s="28" t="str">
        <f>VLOOKUP($A57,'EBA2017'!$A:$G,7,FALSE)</f>
        <v>Two</v>
      </c>
      <c r="H57" s="32">
        <f>VLOOKUP($A57,Calculator!$A:$AZ,44,FALSE)</f>
        <v>2</v>
      </c>
      <c r="I57" s="28">
        <f t="shared" si="0"/>
        <v>0.5</v>
      </c>
      <c r="J57" s="32">
        <f>VLOOKUP($A57,Calculator!$A:$AZ,45,FALSE)</f>
        <v>2</v>
      </c>
      <c r="K57" s="28">
        <f t="shared" si="1"/>
        <v>0.81818181818181823</v>
      </c>
      <c r="L57" s="42">
        <f>VLOOKUP($A57,Calculator!$A:$AZ,46,FALSE)</f>
        <v>1.4203475967273052</v>
      </c>
      <c r="M57" s="43">
        <f t="shared" si="2"/>
        <v>0.72875563420952783</v>
      </c>
      <c r="N57" s="42">
        <f t="shared" si="3"/>
        <v>0.68231248413044876</v>
      </c>
      <c r="O57" s="32">
        <f>VLOOKUP($A57,Calculator!$A:$AZ,41,FALSE)</f>
        <v>9.35</v>
      </c>
      <c r="P57" s="1">
        <f>VLOOKUP($A57,Calculator!$A:$AZ,42,FALSE)</f>
        <v>6</v>
      </c>
      <c r="Q57" s="1">
        <f>VLOOKUP($A57,Calculator!$A:$AZ,43,FALSE)</f>
        <v>4.5</v>
      </c>
      <c r="R57" s="32">
        <f>IF(5="No Data","No Data",O57/(13-IF(O57&lt;13,VLOOKUP($A57,'Data Gaps'!$A:$Z,12,FALSE),0)))</f>
        <v>0.71923076923076923</v>
      </c>
      <c r="S57" s="1">
        <f>IF(P57="No Data","No Data",P57/(8-IF(P57&lt;8,VLOOKUP($A57,'Data Gaps'!$A:$Z,13,FALSE),0)))</f>
        <v>0.75</v>
      </c>
      <c r="T57" s="1">
        <f>IF(Q57="No Data","No Data",Q57/(9-IF(Q57&lt;9,VLOOKUP($A57,'Data Gaps'!$A:$Z,14,FALSE),0)))</f>
        <v>0.5</v>
      </c>
      <c r="U57" s="32">
        <f t="shared" si="4"/>
        <v>66.288581334030454</v>
      </c>
    </row>
    <row r="58" spans="1:21" x14ac:dyDescent="0.35">
      <c r="A58" s="1" t="s">
        <v>106</v>
      </c>
      <c r="B58" s="28" t="s">
        <v>107</v>
      </c>
      <c r="C58" s="1" t="s">
        <v>32</v>
      </c>
      <c r="D58" s="1" t="s">
        <v>33</v>
      </c>
      <c r="E58" s="29" t="s">
        <v>9</v>
      </c>
      <c r="F58" s="28" t="s">
        <v>159</v>
      </c>
      <c r="G58" s="28" t="str">
        <f>VLOOKUP($A58,'EBA2017'!$A:$G,7,FALSE)</f>
        <v>Two</v>
      </c>
      <c r="H58" s="32">
        <f>VLOOKUP($A58,Calculator!$A:$AZ,44,FALSE)</f>
        <v>1</v>
      </c>
      <c r="I58" s="28">
        <f t="shared" si="0"/>
        <v>0.75</v>
      </c>
      <c r="J58" s="32">
        <f>VLOOKUP($A58,Calculator!$A:$AZ,45,FALSE)</f>
        <v>2</v>
      </c>
      <c r="K58" s="28">
        <f t="shared" si="1"/>
        <v>0.81818181818181823</v>
      </c>
      <c r="L58" s="42">
        <f>VLOOKUP($A58,Calculator!$A:$AZ,46,FALSE)</f>
        <v>2.5111168206702238E-2</v>
      </c>
      <c r="M58" s="43">
        <f t="shared" si="2"/>
        <v>0.99520450986069953</v>
      </c>
      <c r="N58" s="42">
        <f t="shared" si="3"/>
        <v>0.85446210934750599</v>
      </c>
      <c r="O58" s="32">
        <f>VLOOKUP($A58,Calculator!$A:$AZ,41,FALSE)</f>
        <v>5.5</v>
      </c>
      <c r="P58" s="1">
        <f>VLOOKUP($A58,Calculator!$A:$AZ,42,FALSE)</f>
        <v>2</v>
      </c>
      <c r="Q58" s="1">
        <f>VLOOKUP($A58,Calculator!$A:$AZ,43,FALSE)</f>
        <v>5.5</v>
      </c>
      <c r="R58" s="32">
        <f>IF(5="No Data","No Data",O58/(13-IF(O58&lt;13,VLOOKUP($A58,'Data Gaps'!$A:$Z,12,FALSE),0)))</f>
        <v>0.42307692307692307</v>
      </c>
      <c r="S58" s="1">
        <f>IF(P58="No Data","No Data",P58/(8-IF(P58&lt;8,VLOOKUP($A58,'Data Gaps'!$A:$Z,13,FALSE),0)))</f>
        <v>0.25</v>
      </c>
      <c r="T58" s="1">
        <f>IF(Q58="No Data","No Data",Q58/(9-IF(Q58&lt;9,VLOOKUP($A58,'Data Gaps'!$A:$Z,14,FALSE),0)))</f>
        <v>0.61111111111111116</v>
      </c>
      <c r="U58" s="32">
        <f t="shared" si="4"/>
        <v>53.466253588388504</v>
      </c>
    </row>
    <row r="59" spans="1:21" x14ac:dyDescent="0.35">
      <c r="A59" s="1" t="s">
        <v>124</v>
      </c>
      <c r="B59" s="28" t="s">
        <v>125</v>
      </c>
      <c r="C59" s="1" t="s">
        <v>16</v>
      </c>
      <c r="D59" s="1" t="s">
        <v>17</v>
      </c>
      <c r="E59" s="29" t="s">
        <v>9</v>
      </c>
      <c r="F59" s="28" t="s">
        <v>160</v>
      </c>
      <c r="G59" s="28" t="str">
        <f>VLOOKUP($A59,'EBA2017'!$A:$G,7,FALSE)</f>
        <v>Two</v>
      </c>
      <c r="H59" s="32">
        <f>VLOOKUP($A59,Calculator!$A:$AZ,44,FALSE)</f>
        <v>2</v>
      </c>
      <c r="I59" s="28">
        <f t="shared" si="0"/>
        <v>0.5</v>
      </c>
      <c r="J59" s="32">
        <f>VLOOKUP($A59,Calculator!$A:$AZ,45,FALSE)</f>
        <v>21</v>
      </c>
      <c r="K59" s="28">
        <f t="shared" si="1"/>
        <v>0</v>
      </c>
      <c r="L59" s="42">
        <f>VLOOKUP($A59,Calculator!$A:$AZ,46,FALSE)</f>
        <v>6.1089129054058766</v>
      </c>
      <c r="M59" s="43">
        <f t="shared" si="2"/>
        <v>0</v>
      </c>
      <c r="N59" s="42">
        <f t="shared" si="3"/>
        <v>0.16666666666666666</v>
      </c>
      <c r="O59" s="32">
        <f>VLOOKUP($A59,Calculator!$A:$AZ,41,FALSE)</f>
        <v>6.5</v>
      </c>
      <c r="P59" s="1">
        <f>VLOOKUP($A59,Calculator!$A:$AZ,42,FALSE)</f>
        <v>1.5</v>
      </c>
      <c r="Q59" s="1" t="str">
        <f>VLOOKUP($A59,Calculator!$A:$AZ,43,FALSE)</f>
        <v>No data</v>
      </c>
      <c r="R59" s="32">
        <f>IF(5="No Data","No Data",O59/(13-IF(O59&lt;13,VLOOKUP($A59,'Data Gaps'!$A:$Z,12,FALSE),0)))</f>
        <v>0.5</v>
      </c>
      <c r="S59" s="1">
        <f>IF(P59="No Data","No Data",P59/(8-IF(P59&lt;8,VLOOKUP($A59,'Data Gaps'!$A:$Z,13,FALSE),0)))</f>
        <v>0.25</v>
      </c>
      <c r="T59" s="1" t="str">
        <f>IF(Q59="No Data","No Data",Q59/(9-IF(Q59&lt;9,VLOOKUP($A59,'Data Gaps'!$A:$Z,14,FALSE),0)))</f>
        <v>No Data</v>
      </c>
      <c r="U59" s="32">
        <f t="shared" si="4"/>
        <v>30.555555555555554</v>
      </c>
    </row>
    <row r="60" spans="1:21" x14ac:dyDescent="0.35">
      <c r="A60" s="1" t="s">
        <v>130</v>
      </c>
      <c r="B60" s="28" t="s">
        <v>131</v>
      </c>
      <c r="C60" s="1" t="s">
        <v>32</v>
      </c>
      <c r="D60" s="1" t="s">
        <v>33</v>
      </c>
      <c r="E60" s="29" t="s">
        <v>25</v>
      </c>
      <c r="F60" s="28" t="s">
        <v>161</v>
      </c>
      <c r="G60" s="28" t="str">
        <f>VLOOKUP($A60,'EBA2017'!$A:$G,7,FALSE)</f>
        <v>Two</v>
      </c>
      <c r="H60" s="32">
        <f>VLOOKUP($A60,Calculator!$A:$AZ,44,FALSE)</f>
        <v>3</v>
      </c>
      <c r="I60" s="28">
        <f t="shared" si="0"/>
        <v>0.25</v>
      </c>
      <c r="J60" s="32">
        <f>VLOOKUP($A60,Calculator!$A:$AZ,45,FALSE)</f>
        <v>6</v>
      </c>
      <c r="K60" s="28">
        <f t="shared" si="1"/>
        <v>0.45454545454545453</v>
      </c>
      <c r="L60" s="42">
        <f>VLOOKUP($A60,Calculator!$A:$AZ,46,FALSE)</f>
        <v>0.6720444677242442</v>
      </c>
      <c r="M60" s="43">
        <f t="shared" si="2"/>
        <v>0.87165939108787338</v>
      </c>
      <c r="N60" s="42">
        <f t="shared" si="3"/>
        <v>0.52540161521110929</v>
      </c>
      <c r="O60" s="32">
        <f>VLOOKUP($A60,Calculator!$A:$AZ,41,FALSE)</f>
        <v>5</v>
      </c>
      <c r="P60" s="1">
        <f>VLOOKUP($A60,Calculator!$A:$AZ,42,FALSE)</f>
        <v>3</v>
      </c>
      <c r="Q60" s="1">
        <f>VLOOKUP($A60,Calculator!$A:$AZ,43,FALSE)</f>
        <v>4.5</v>
      </c>
      <c r="R60" s="32">
        <f>IF(5="No Data","No Data",O60/(13-IF(O60&lt;13,VLOOKUP($A60,'Data Gaps'!$A:$Z,12,FALSE),0)))</f>
        <v>0.38461538461538464</v>
      </c>
      <c r="S60" s="1">
        <f>IF(P60="No Data","No Data",P60/(8-IF(P60&lt;8,VLOOKUP($A60,'Data Gaps'!$A:$Z,13,FALSE),0)))</f>
        <v>0.375</v>
      </c>
      <c r="T60" s="1">
        <f>IF(Q60="No Data","No Data",Q60/(9-IF(Q60&lt;9,VLOOKUP($A60,'Data Gaps'!$A:$Z,14,FALSE),0)))</f>
        <v>0.5</v>
      </c>
      <c r="U60" s="32">
        <f t="shared" si="4"/>
        <v>44.62542499566235</v>
      </c>
    </row>
    <row r="61" spans="1:21" x14ac:dyDescent="0.35">
      <c r="A61" s="1" t="s">
        <v>128</v>
      </c>
      <c r="B61" s="28" t="s">
        <v>129</v>
      </c>
      <c r="C61" s="1" t="s">
        <v>16</v>
      </c>
      <c r="D61" s="1" t="s">
        <v>17</v>
      </c>
      <c r="E61" s="29" t="s">
        <v>18</v>
      </c>
      <c r="F61" s="28" t="s">
        <v>159</v>
      </c>
      <c r="G61" s="28" t="str">
        <f>VLOOKUP($A61,'EBA2017'!$A:$G,7,FALSE)</f>
        <v>Two</v>
      </c>
      <c r="H61" s="32">
        <f>VLOOKUP($A61,Calculator!$A:$AZ,44,FALSE)</f>
        <v>4</v>
      </c>
      <c r="I61" s="28">
        <f t="shared" si="0"/>
        <v>0</v>
      </c>
      <c r="J61" s="32">
        <f>VLOOKUP($A61,Calculator!$A:$AZ,45,FALSE)</f>
        <v>16</v>
      </c>
      <c r="K61" s="28">
        <f t="shared" si="1"/>
        <v>0</v>
      </c>
      <c r="L61" s="42">
        <f>VLOOKUP($A61,Calculator!$A:$AZ,46,FALSE)</f>
        <v>4.2857142857142856</v>
      </c>
      <c r="M61" s="43">
        <f t="shared" si="2"/>
        <v>0.18155537696106427</v>
      </c>
      <c r="N61" s="42">
        <f t="shared" si="3"/>
        <v>6.0518458987021427E-2</v>
      </c>
      <c r="O61" s="32">
        <f>VLOOKUP($A61,Calculator!$A:$AZ,41,FALSE)</f>
        <v>9.7000000000000011</v>
      </c>
      <c r="P61" s="1">
        <f>VLOOKUP($A61,Calculator!$A:$AZ,42,FALSE)</f>
        <v>3</v>
      </c>
      <c r="Q61" s="1">
        <f>VLOOKUP($A61,Calculator!$A:$AZ,43,FALSE)</f>
        <v>3</v>
      </c>
      <c r="R61" s="32">
        <f>IF(5="No Data","No Data",O61/(13-IF(O61&lt;13,VLOOKUP($A61,'Data Gaps'!$A:$Z,12,FALSE),0)))</f>
        <v>0.74615384615384628</v>
      </c>
      <c r="S61" s="1">
        <f>IF(P61="No Data","No Data",P61/(8-IF(P61&lt;8,VLOOKUP($A61,'Data Gaps'!$A:$Z,13,FALSE),0)))</f>
        <v>0.375</v>
      </c>
      <c r="T61" s="1">
        <f>IF(Q61="No Data","No Data",Q61/(9-IF(Q61&lt;9,VLOOKUP($A61,'Data Gaps'!$A:$Z,14,FALSE),0)))</f>
        <v>0.33333333333333331</v>
      </c>
      <c r="U61" s="32">
        <f t="shared" si="4"/>
        <v>37.875140961855024</v>
      </c>
    </row>
    <row r="62" spans="1:21" x14ac:dyDescent="0.35">
      <c r="A62" s="1" t="s">
        <v>134</v>
      </c>
      <c r="B62" s="28" t="s">
        <v>135</v>
      </c>
      <c r="C62" s="1" t="s">
        <v>16</v>
      </c>
      <c r="D62" s="1" t="s">
        <v>17</v>
      </c>
      <c r="E62" s="28" t="s">
        <v>18</v>
      </c>
      <c r="F62" s="28" t="s">
        <v>160</v>
      </c>
      <c r="G62" s="28" t="str">
        <f>VLOOKUP($A62,'EBA2017'!$A:$G,7,FALSE)</f>
        <v>Two</v>
      </c>
      <c r="H62" s="32">
        <f>VLOOKUP($A62,Calculator!$A:$AZ,44,FALSE)</f>
        <v>3</v>
      </c>
      <c r="I62" s="28">
        <f t="shared" si="0"/>
        <v>0.25</v>
      </c>
      <c r="J62" s="32">
        <f>VLOOKUP($A62,Calculator!$A:$AZ,45,FALSE)</f>
        <v>4</v>
      </c>
      <c r="K62" s="28">
        <f t="shared" si="1"/>
        <v>0.63636363636363635</v>
      </c>
      <c r="L62" s="42">
        <f>VLOOKUP($A62,Calculator!$A:$AZ,46,FALSE)</f>
        <v>0.26911645834480535</v>
      </c>
      <c r="M62" s="43">
        <f t="shared" si="2"/>
        <v>0.94860671906249627</v>
      </c>
      <c r="N62" s="42">
        <f t="shared" si="3"/>
        <v>0.61165678514204425</v>
      </c>
      <c r="O62" s="32">
        <f>VLOOKUP($A62,Calculator!$A:$AZ,41,FALSE)</f>
        <v>6.9</v>
      </c>
      <c r="P62" s="1">
        <f>VLOOKUP($A62,Calculator!$A:$AZ,42,FALSE)</f>
        <v>3</v>
      </c>
      <c r="Q62" s="1">
        <f>VLOOKUP($A62,Calculator!$A:$AZ,43,FALSE)</f>
        <v>4</v>
      </c>
      <c r="R62" s="32">
        <f>IF(5="No Data","No Data",O62/(13-IF(O62&lt;13,VLOOKUP($A62,'Data Gaps'!$A:$Z,12,FALSE),0)))</f>
        <v>0.53076923076923077</v>
      </c>
      <c r="S62" s="1">
        <f>IF(P62="No Data","No Data",P62/(8-IF(P62&lt;8,VLOOKUP($A62,'Data Gaps'!$A:$Z,13,FALSE),0)))</f>
        <v>0.375</v>
      </c>
      <c r="T62" s="1">
        <f>IF(Q62="No Data","No Data",Q62/(9-IF(Q62&lt;9,VLOOKUP($A62,'Data Gaps'!$A:$Z,14,FALSE),0)))</f>
        <v>0.5</v>
      </c>
      <c r="U62" s="32">
        <f t="shared" si="4"/>
        <v>50.43565039778187</v>
      </c>
    </row>
    <row r="63" spans="1:21" x14ac:dyDescent="0.35">
      <c r="A63" s="1" t="s">
        <v>138</v>
      </c>
      <c r="B63" s="28" t="s">
        <v>139</v>
      </c>
      <c r="C63" s="1" t="s">
        <v>21</v>
      </c>
      <c r="D63" s="1" t="s">
        <v>22</v>
      </c>
      <c r="E63" s="28" t="s">
        <v>40</v>
      </c>
      <c r="F63" s="28" t="s">
        <v>160</v>
      </c>
      <c r="G63" s="28" t="str">
        <f>VLOOKUP($A63,'EBA2017'!$A:$G,7,FALSE)</f>
        <v>Two</v>
      </c>
      <c r="H63" s="32">
        <f>VLOOKUP($A63,Calculator!$A:$AZ,44,FALSE)</f>
        <v>1</v>
      </c>
      <c r="I63" s="28">
        <f t="shared" si="0"/>
        <v>0.75</v>
      </c>
      <c r="J63" s="32">
        <f>VLOOKUP($A63,Calculator!$A:$AZ,45,FALSE)</f>
        <v>2</v>
      </c>
      <c r="K63" s="28">
        <f t="shared" si="1"/>
        <v>0.81818181818181823</v>
      </c>
      <c r="L63" s="42">
        <f>VLOOKUP($A63,Calculator!$A:$AZ,46,FALSE)</f>
        <v>0.2486916581268519</v>
      </c>
      <c r="M63" s="43">
        <f t="shared" si="2"/>
        <v>0.95250725157600291</v>
      </c>
      <c r="N63" s="42">
        <f t="shared" si="3"/>
        <v>0.84022968991927371</v>
      </c>
      <c r="O63" s="32">
        <f>VLOOKUP($A63,Calculator!$A:$AZ,41,FALSE)</f>
        <v>10.1</v>
      </c>
      <c r="P63" s="1">
        <f>VLOOKUP($A63,Calculator!$A:$AZ,42,FALSE)</f>
        <v>4.5</v>
      </c>
      <c r="Q63" s="1">
        <f>VLOOKUP($A63,Calculator!$A:$AZ,43,FALSE)</f>
        <v>5.5</v>
      </c>
      <c r="R63" s="32">
        <f>IF(5="No Data","No Data",O63/(13-IF(O63&lt;13,VLOOKUP($A63,'Data Gaps'!$A:$Z,12,FALSE),0)))</f>
        <v>0.77692307692307694</v>
      </c>
      <c r="S63" s="1">
        <f>IF(P63="No Data","No Data",P63/(8-IF(P63&lt;8,VLOOKUP($A63,'Data Gaps'!$A:$Z,13,FALSE),0)))</f>
        <v>0.5625</v>
      </c>
      <c r="T63" s="1">
        <f>IF(Q63="No Data","No Data",Q63/(9-IF(Q63&lt;9,VLOOKUP($A63,'Data Gaps'!$A:$Z,14,FALSE),0)))</f>
        <v>0.6875</v>
      </c>
      <c r="U63" s="32">
        <f t="shared" si="4"/>
        <v>71.678819171058763</v>
      </c>
    </row>
    <row r="64" spans="1:21" x14ac:dyDescent="0.35">
      <c r="A64" s="1" t="s">
        <v>140</v>
      </c>
      <c r="B64" s="28" t="s">
        <v>141</v>
      </c>
      <c r="C64" s="1" t="s">
        <v>32</v>
      </c>
      <c r="D64" s="1" t="s">
        <v>33</v>
      </c>
      <c r="E64" s="28" t="s">
        <v>9</v>
      </c>
      <c r="F64" s="28" t="s">
        <v>162</v>
      </c>
      <c r="G64" s="28" t="str">
        <f>VLOOKUP($A64,'EBA2017'!$A:$G,7,FALSE)</f>
        <v>Two</v>
      </c>
      <c r="H64" s="32">
        <f>VLOOKUP($A64,Calculator!$A:$AZ,44,FALSE)</f>
        <v>2</v>
      </c>
      <c r="I64" s="28">
        <f t="shared" si="0"/>
        <v>0.5</v>
      </c>
      <c r="J64" s="32">
        <f>VLOOKUP($A64,Calculator!$A:$AZ,45,FALSE)</f>
        <v>3</v>
      </c>
      <c r="K64" s="28">
        <f t="shared" si="1"/>
        <v>0.72727272727272729</v>
      </c>
      <c r="L64" s="42">
        <f>VLOOKUP($A64,Calculator!$A:$AZ,46,FALSE)</f>
        <v>1.9429872500845244</v>
      </c>
      <c r="M64" s="43">
        <f t="shared" si="2"/>
        <v>0.6289469242581931</v>
      </c>
      <c r="N64" s="42">
        <f t="shared" si="3"/>
        <v>0.61873988384364009</v>
      </c>
      <c r="O64" s="32">
        <f>VLOOKUP($A64,Calculator!$A:$AZ,41,FALSE)</f>
        <v>8.3000000000000007</v>
      </c>
      <c r="P64" s="1">
        <f>VLOOKUP($A64,Calculator!$A:$AZ,42,FALSE)</f>
        <v>5.5</v>
      </c>
      <c r="Q64" s="1">
        <f>VLOOKUP($A64,Calculator!$A:$AZ,43,FALSE)</f>
        <v>3.5</v>
      </c>
      <c r="R64" s="32">
        <f>IF(5="No Data","No Data",O64/(13-IF(O64&lt;13,VLOOKUP($A64,'Data Gaps'!$A:$Z,12,FALSE),0)))</f>
        <v>0.63846153846153852</v>
      </c>
      <c r="S64" s="1">
        <f>IF(P64="No Data","No Data",P64/(8-IF(P64&lt;8,VLOOKUP($A64,'Data Gaps'!$A:$Z,13,FALSE),0)))</f>
        <v>0.6875</v>
      </c>
      <c r="T64" s="1">
        <f>IF(Q64="No Data","No Data",Q64/(9-IF(Q64&lt;9,VLOOKUP($A64,'Data Gaps'!$A:$Z,14,FALSE),0)))</f>
        <v>0.3888888888888889</v>
      </c>
      <c r="U64" s="32">
        <f t="shared" si="4"/>
        <v>58.339757779851688</v>
      </c>
    </row>
    <row r="65" spans="1:21" x14ac:dyDescent="0.35">
      <c r="A65" s="1" t="s">
        <v>142</v>
      </c>
      <c r="B65" s="28" t="s">
        <v>143</v>
      </c>
      <c r="C65" s="1" t="s">
        <v>16</v>
      </c>
      <c r="D65" s="1" t="s">
        <v>17</v>
      </c>
      <c r="E65" s="28" t="s">
        <v>9</v>
      </c>
      <c r="F65" s="28" t="s">
        <v>162</v>
      </c>
      <c r="G65" s="28" t="str">
        <f>VLOOKUP($A65,'EBA2017'!$A:$G,7,FALSE)</f>
        <v>Two</v>
      </c>
      <c r="H65" s="32">
        <f>VLOOKUP($A65,Calculator!$A:$AZ,44,FALSE)</f>
        <v>4</v>
      </c>
      <c r="I65" s="28">
        <f t="shared" si="0"/>
        <v>0</v>
      </c>
      <c r="J65" s="32">
        <f>VLOOKUP($A65,Calculator!$A:$AZ,45,FALSE)</f>
        <v>9</v>
      </c>
      <c r="K65" s="28">
        <f t="shared" si="1"/>
        <v>0.18181818181818182</v>
      </c>
      <c r="L65" s="42">
        <f>VLOOKUP($A65,Calculator!$A:$AZ,46,FALSE)</f>
        <v>2.3724231578311361</v>
      </c>
      <c r="M65" s="43">
        <f t="shared" si="2"/>
        <v>0.54693737201001269</v>
      </c>
      <c r="N65" s="42">
        <f t="shared" si="3"/>
        <v>0.24291851794273148</v>
      </c>
      <c r="O65" s="32">
        <f>VLOOKUP($A65,Calculator!$A:$AZ,41,FALSE)</f>
        <v>10.25</v>
      </c>
      <c r="P65" s="1">
        <f>VLOOKUP($A65,Calculator!$A:$AZ,42,FALSE)</f>
        <v>2</v>
      </c>
      <c r="Q65" s="1">
        <f>VLOOKUP($A65,Calculator!$A:$AZ,43,FALSE)</f>
        <v>5</v>
      </c>
      <c r="R65" s="32">
        <f>IF(5="No Data","No Data",O65/(13-IF(O65&lt;13,VLOOKUP($A65,'Data Gaps'!$A:$Z,12,FALSE),0)))</f>
        <v>0.78846153846153844</v>
      </c>
      <c r="S65" s="1">
        <f>IF(P65="No Data","No Data",P65/(8-IF(P65&lt;8,VLOOKUP($A65,'Data Gaps'!$A:$Z,13,FALSE),0)))</f>
        <v>0.25</v>
      </c>
      <c r="T65" s="1">
        <f>IF(Q65="No Data","No Data",Q65/(9-IF(Q65&lt;9,VLOOKUP($A65,'Data Gaps'!$A:$Z,14,FALSE),0)))</f>
        <v>0.55555555555555558</v>
      </c>
      <c r="U65" s="32">
        <f t="shared" si="4"/>
        <v>45.923390298995635</v>
      </c>
    </row>
    <row r="66" spans="1:21" x14ac:dyDescent="0.35">
      <c r="A66" s="1" t="s">
        <v>144</v>
      </c>
      <c r="B66" s="28" t="s">
        <v>145</v>
      </c>
      <c r="C66" s="1" t="s">
        <v>16</v>
      </c>
      <c r="D66" s="1" t="s">
        <v>17</v>
      </c>
      <c r="E66" s="28" t="s">
        <v>18</v>
      </c>
      <c r="F66" s="28" t="s">
        <v>160</v>
      </c>
      <c r="G66" s="28" t="str">
        <f>VLOOKUP($A66,'EBA2017'!$A:$G,7,FALSE)</f>
        <v>Two</v>
      </c>
      <c r="H66" s="32">
        <f>VLOOKUP($A66,Calculator!$A:$AZ,44,FALSE)</f>
        <v>1</v>
      </c>
      <c r="I66" s="28">
        <f t="shared" si="0"/>
        <v>0.75</v>
      </c>
      <c r="J66" s="32" t="str">
        <f>VLOOKUP($A66,Calculator!$A:$AZ,45,FALSE)</f>
        <v>No data</v>
      </c>
      <c r="K66" s="28" t="str">
        <f t="shared" si="1"/>
        <v>No data</v>
      </c>
      <c r="L66" s="42">
        <f>VLOOKUP($A66,Calculator!$A:$AZ,46,FALSE)</f>
        <v>1.1764705882352942</v>
      </c>
      <c r="M66" s="43">
        <f t="shared" si="2"/>
        <v>0.77532892700891953</v>
      </c>
      <c r="N66" s="42">
        <f t="shared" si="3"/>
        <v>0.76266446350445971</v>
      </c>
      <c r="O66" s="32">
        <f>VLOOKUP($A66,Calculator!$A:$AZ,41,FALSE)</f>
        <v>7.5</v>
      </c>
      <c r="P66" s="1">
        <f>VLOOKUP($A66,Calculator!$A:$AZ,42,FALSE)</f>
        <v>2</v>
      </c>
      <c r="Q66" s="1" t="str">
        <f>VLOOKUP($A66,Calculator!$A:$AZ,43,FALSE)</f>
        <v>No data</v>
      </c>
      <c r="R66" s="32">
        <f>IF(5="No Data","No Data",O66/(13-IF(O66&lt;13,VLOOKUP($A66,'Data Gaps'!$A:$Z,12,FALSE),0)))</f>
        <v>0.57692307692307687</v>
      </c>
      <c r="S66" s="1">
        <f>IF(P66="No Data","No Data",P66/(8-IF(P66&lt;8,VLOOKUP($A66,'Data Gaps'!$A:$Z,13,FALSE),0)))</f>
        <v>0.25</v>
      </c>
      <c r="T66" s="1" t="str">
        <f>IF(Q66="No Data","No Data",Q66/(9-IF(Q66&lt;9,VLOOKUP($A66,'Data Gaps'!$A:$Z,14,FALSE),0)))</f>
        <v>No Data</v>
      </c>
      <c r="U66" s="32">
        <f t="shared" si="4"/>
        <v>52.986251347584556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I70"/>
  <sheetViews>
    <sheetView zoomScaleNormal="100" workbookViewId="0">
      <pane xSplit="7" ySplit="6" topLeftCell="H7" activePane="bottomRight" state="frozen"/>
      <selection pane="topRight" activeCell="H1" sqref="H1"/>
      <selection pane="bottomLeft" activeCell="A7" sqref="A7"/>
      <selection pane="bottomRight" activeCell="B4" sqref="B4"/>
    </sheetView>
  </sheetViews>
  <sheetFormatPr defaultColWidth="9.1796875" defaultRowHeight="10" x14ac:dyDescent="0.2"/>
  <cols>
    <col min="1" max="1" width="9.1796875" style="1"/>
    <col min="2" max="2" width="17" style="1" customWidth="1"/>
    <col min="3" max="7" width="9.1796875" style="1"/>
    <col min="8" max="8" width="9.26953125" style="1" customWidth="1"/>
    <col min="9" max="9" width="9.26953125" style="15" customWidth="1"/>
    <col min="10" max="10" width="9.26953125" style="1" customWidth="1"/>
    <col min="11" max="11" width="10.453125" style="1" customWidth="1"/>
    <col min="12" max="12" width="9.26953125" style="1" bestFit="1" customWidth="1"/>
    <col min="13" max="13" width="11.1796875" style="18" bestFit="1" customWidth="1"/>
    <col min="14" max="14" width="12.1796875" style="1" bestFit="1" customWidth="1"/>
    <col min="15" max="15" width="9.26953125" style="1" customWidth="1"/>
    <col min="16" max="16" width="9.26953125" style="15" bestFit="1" customWidth="1"/>
    <col min="17" max="17" width="9.26953125" style="1" customWidth="1"/>
    <col min="18" max="19" width="9.26953125" style="1" bestFit="1" customWidth="1"/>
    <col min="20" max="20" width="10" style="18" bestFit="1" customWidth="1"/>
    <col min="21" max="21" width="10.1796875" style="1" bestFit="1" customWidth="1"/>
    <col min="22" max="22" width="9.26953125" style="1" customWidth="1"/>
    <col min="23" max="23" width="9.26953125" style="15" bestFit="1" customWidth="1"/>
    <col min="24" max="26" width="9.26953125" style="1" bestFit="1" customWidth="1"/>
    <col min="27" max="27" width="9.26953125" style="18" bestFit="1" customWidth="1"/>
    <col min="28" max="28" width="9.26953125" style="1" bestFit="1" customWidth="1"/>
    <col min="29" max="29" width="9.26953125" style="18" bestFit="1" customWidth="1"/>
    <col min="30" max="30" width="9.26953125" style="1" bestFit="1" customWidth="1"/>
    <col min="31" max="31" width="9.26953125" style="1" customWidth="1"/>
    <col min="32" max="32" width="9.26953125" style="15" bestFit="1" customWidth="1"/>
    <col min="33" max="38" width="9.26953125" style="1" bestFit="1" customWidth="1"/>
    <col min="39" max="39" width="9.26953125" style="1" customWidth="1"/>
    <col min="40" max="40" width="9.26953125" style="15" bestFit="1" customWidth="1"/>
    <col min="41" max="43" width="9.26953125" style="1" bestFit="1" customWidth="1"/>
    <col min="44" max="44" width="9.26953125" style="18" bestFit="1" customWidth="1"/>
    <col min="45" max="45" width="9.26953125" style="20" bestFit="1" customWidth="1"/>
    <col min="46" max="46" width="9.26953125" style="13" bestFit="1" customWidth="1"/>
    <col min="47" max="47" width="9.26953125" style="1" customWidth="1"/>
    <col min="48" max="48" width="9.26953125" style="15" bestFit="1" customWidth="1"/>
    <col min="49" max="49" width="9.26953125" style="1" bestFit="1" customWidth="1"/>
    <col min="50" max="51" width="9.26953125" style="13" bestFit="1" customWidth="1"/>
    <col min="52" max="52" width="9.26953125" style="1" bestFit="1" customWidth="1"/>
    <col min="53" max="53" width="9.26953125" style="18" bestFit="1" customWidth="1"/>
    <col min="54" max="54" width="9.26953125" style="1" bestFit="1" customWidth="1"/>
    <col min="55" max="55" width="9.26953125" style="1" customWidth="1"/>
    <col min="56" max="56" width="9.26953125" style="15" bestFit="1" customWidth="1"/>
    <col min="57" max="58" width="9.26953125" style="1" bestFit="1" customWidth="1"/>
    <col min="59" max="59" width="9.26953125" style="1" customWidth="1"/>
    <col min="60" max="60" width="9.26953125" style="15" bestFit="1" customWidth="1"/>
    <col min="61" max="61" width="9.26953125" style="1" bestFit="1" customWidth="1"/>
    <col min="62" max="16384" width="9.1796875" style="1"/>
  </cols>
  <sheetData>
    <row r="1" spans="1:61" ht="15" customHeight="1" x14ac:dyDescent="0.25">
      <c r="A1" s="22"/>
      <c r="B1" s="22"/>
      <c r="C1" s="22"/>
      <c r="D1" s="22"/>
      <c r="E1" s="22"/>
      <c r="F1" s="22"/>
      <c r="G1" s="116" t="s">
        <v>277</v>
      </c>
      <c r="H1" s="132" t="s">
        <v>164</v>
      </c>
      <c r="I1" s="132"/>
      <c r="J1" s="132"/>
      <c r="K1" s="132"/>
      <c r="L1" s="132"/>
      <c r="M1" s="132"/>
      <c r="N1" s="132"/>
      <c r="O1" s="129" t="s">
        <v>147</v>
      </c>
      <c r="P1" s="129"/>
      <c r="Q1" s="129"/>
      <c r="R1" s="129"/>
      <c r="S1" s="129"/>
      <c r="T1" s="129"/>
      <c r="U1" s="129"/>
      <c r="V1" s="132" t="s">
        <v>148</v>
      </c>
      <c r="W1" s="132"/>
      <c r="X1" s="132"/>
      <c r="Y1" s="132"/>
      <c r="Z1" s="132"/>
      <c r="AA1" s="132"/>
      <c r="AB1" s="132"/>
      <c r="AC1" s="132"/>
      <c r="AD1" s="132"/>
      <c r="AE1" s="129" t="s">
        <v>149</v>
      </c>
      <c r="AF1" s="129"/>
      <c r="AG1" s="129"/>
      <c r="AH1" s="129"/>
      <c r="AI1" s="129"/>
      <c r="AJ1" s="129"/>
      <c r="AK1" s="129"/>
      <c r="AL1" s="129"/>
      <c r="AM1" s="132" t="s">
        <v>186</v>
      </c>
      <c r="AN1" s="132"/>
      <c r="AO1" s="132"/>
      <c r="AP1" s="132"/>
      <c r="AQ1" s="132"/>
      <c r="AR1" s="132"/>
      <c r="AS1" s="132"/>
      <c r="AT1" s="132"/>
      <c r="AU1" s="129" t="s">
        <v>150</v>
      </c>
      <c r="AV1" s="129"/>
      <c r="AW1" s="129"/>
      <c r="AX1" s="129"/>
      <c r="AY1" s="129"/>
      <c r="AZ1" s="129"/>
      <c r="BA1" s="129"/>
      <c r="BB1" s="129"/>
      <c r="BC1" s="132" t="s">
        <v>151</v>
      </c>
      <c r="BD1" s="132"/>
      <c r="BE1" s="132"/>
      <c r="BF1" s="132"/>
      <c r="BG1" s="129" t="s">
        <v>152</v>
      </c>
      <c r="BH1" s="129"/>
      <c r="BI1" s="129"/>
    </row>
    <row r="2" spans="1:61" s="2" customFormat="1" ht="84" x14ac:dyDescent="0.2">
      <c r="A2" s="23"/>
      <c r="B2" s="23"/>
      <c r="C2" s="23"/>
      <c r="D2" s="23"/>
      <c r="E2" s="23"/>
      <c r="F2" s="23"/>
      <c r="G2" s="117" t="s">
        <v>278</v>
      </c>
      <c r="H2" s="94" t="s">
        <v>205</v>
      </c>
      <c r="I2" s="95" t="s">
        <v>165</v>
      </c>
      <c r="J2" s="106" t="s">
        <v>187</v>
      </c>
      <c r="K2" s="96" t="s">
        <v>188</v>
      </c>
      <c r="L2" s="106" t="s">
        <v>191</v>
      </c>
      <c r="M2" s="97" t="s">
        <v>189</v>
      </c>
      <c r="N2" s="106" t="s">
        <v>190</v>
      </c>
      <c r="O2" s="94" t="s">
        <v>206</v>
      </c>
      <c r="P2" s="95" t="s">
        <v>166</v>
      </c>
      <c r="Q2" s="106" t="s">
        <v>192</v>
      </c>
      <c r="R2" s="96" t="s">
        <v>193</v>
      </c>
      <c r="S2" s="106" t="s">
        <v>194</v>
      </c>
      <c r="T2" s="97" t="s">
        <v>173</v>
      </c>
      <c r="U2" s="106" t="s">
        <v>174</v>
      </c>
      <c r="V2" s="94" t="s">
        <v>207</v>
      </c>
      <c r="W2" s="95" t="s">
        <v>167</v>
      </c>
      <c r="X2" s="106" t="s">
        <v>216</v>
      </c>
      <c r="Y2" s="96" t="s">
        <v>195</v>
      </c>
      <c r="Z2" s="106" t="s">
        <v>196</v>
      </c>
      <c r="AA2" s="97" t="s">
        <v>177</v>
      </c>
      <c r="AB2" s="106" t="s">
        <v>178</v>
      </c>
      <c r="AC2" s="97" t="s">
        <v>175</v>
      </c>
      <c r="AD2" s="106" t="s">
        <v>176</v>
      </c>
      <c r="AE2" s="98" t="s">
        <v>208</v>
      </c>
      <c r="AF2" s="99" t="s">
        <v>168</v>
      </c>
      <c r="AG2" s="107" t="s">
        <v>217</v>
      </c>
      <c r="AH2" s="96" t="s">
        <v>218</v>
      </c>
      <c r="AI2" s="107" t="s">
        <v>219</v>
      </c>
      <c r="AJ2" s="96" t="s">
        <v>220</v>
      </c>
      <c r="AK2" s="107" t="s">
        <v>221</v>
      </c>
      <c r="AL2" s="96" t="s">
        <v>222</v>
      </c>
      <c r="AM2" s="98" t="s">
        <v>209</v>
      </c>
      <c r="AN2" s="99" t="s">
        <v>169</v>
      </c>
      <c r="AO2" s="107" t="s">
        <v>197</v>
      </c>
      <c r="AP2" s="96" t="s">
        <v>198</v>
      </c>
      <c r="AQ2" s="107" t="s">
        <v>199</v>
      </c>
      <c r="AR2" s="97" t="s">
        <v>179</v>
      </c>
      <c r="AS2" s="108" t="s">
        <v>180</v>
      </c>
      <c r="AT2" s="96" t="s">
        <v>181</v>
      </c>
      <c r="AU2" s="98" t="s">
        <v>210</v>
      </c>
      <c r="AV2" s="99" t="s">
        <v>170</v>
      </c>
      <c r="AW2" s="107" t="s">
        <v>200</v>
      </c>
      <c r="AX2" s="96" t="s">
        <v>182</v>
      </c>
      <c r="AY2" s="107" t="s">
        <v>183</v>
      </c>
      <c r="AZ2" s="96" t="s">
        <v>201</v>
      </c>
      <c r="BA2" s="109" t="s">
        <v>184</v>
      </c>
      <c r="BB2" s="96" t="s">
        <v>185</v>
      </c>
      <c r="BC2" s="98" t="s">
        <v>211</v>
      </c>
      <c r="BD2" s="99" t="s">
        <v>171</v>
      </c>
      <c r="BE2" s="110" t="s">
        <v>202</v>
      </c>
      <c r="BF2" s="96" t="s">
        <v>203</v>
      </c>
      <c r="BG2" s="98" t="s">
        <v>212</v>
      </c>
      <c r="BH2" s="99" t="s">
        <v>172</v>
      </c>
      <c r="BI2" s="110" t="s">
        <v>204</v>
      </c>
    </row>
    <row r="3" spans="1:61" s="70" customFormat="1" ht="17.5" x14ac:dyDescent="0.35">
      <c r="A3" s="102" t="s">
        <v>281</v>
      </c>
      <c r="B3" s="119"/>
      <c r="C3" s="64"/>
      <c r="D3" s="64"/>
      <c r="E3" s="64"/>
      <c r="F3" s="64"/>
      <c r="G3" s="78" t="s">
        <v>282</v>
      </c>
      <c r="H3" s="100"/>
      <c r="I3" s="118" t="s">
        <v>280</v>
      </c>
      <c r="J3" s="65"/>
      <c r="K3" s="65"/>
      <c r="L3" s="65"/>
      <c r="M3" s="67"/>
      <c r="N3" s="65"/>
      <c r="O3" s="100"/>
      <c r="P3" s="118" t="s">
        <v>280</v>
      </c>
      <c r="Q3" s="65"/>
      <c r="R3" s="65"/>
      <c r="S3" s="65"/>
      <c r="T3" s="67"/>
      <c r="U3" s="65"/>
      <c r="V3" s="100"/>
      <c r="W3" s="118" t="s">
        <v>280</v>
      </c>
      <c r="X3" s="65"/>
      <c r="Y3" s="65"/>
      <c r="Z3" s="65"/>
      <c r="AA3" s="67"/>
      <c r="AB3" s="65"/>
      <c r="AC3" s="67"/>
      <c r="AD3" s="65"/>
      <c r="AE3" s="100"/>
      <c r="AF3" s="118" t="s">
        <v>280</v>
      </c>
      <c r="AG3" s="65"/>
      <c r="AH3" s="65"/>
      <c r="AI3" s="65"/>
      <c r="AJ3" s="65"/>
      <c r="AK3" s="65"/>
      <c r="AL3" s="65"/>
      <c r="AM3" s="100"/>
      <c r="AN3" s="118" t="s">
        <v>280</v>
      </c>
      <c r="AO3" s="65"/>
      <c r="AP3" s="65"/>
      <c r="AQ3" s="65"/>
      <c r="AR3" s="67"/>
      <c r="AS3" s="68"/>
      <c r="AT3" s="69"/>
      <c r="AU3" s="100"/>
      <c r="AV3" s="118" t="s">
        <v>280</v>
      </c>
      <c r="AW3" s="65"/>
      <c r="AX3" s="69"/>
      <c r="AY3" s="69"/>
      <c r="AZ3" s="65"/>
      <c r="BA3" s="67"/>
      <c r="BB3" s="65"/>
      <c r="BC3" s="100"/>
      <c r="BD3" s="118" t="s">
        <v>280</v>
      </c>
      <c r="BE3" s="65"/>
      <c r="BF3" s="65"/>
      <c r="BG3" s="100"/>
      <c r="BH3" s="118" t="s">
        <v>280</v>
      </c>
      <c r="BI3" s="65"/>
    </row>
    <row r="4" spans="1:61" s="70" customFormat="1" ht="18" x14ac:dyDescent="0.35">
      <c r="A4" s="120" t="s">
        <v>279</v>
      </c>
      <c r="B4" s="121" t="s">
        <v>145</v>
      </c>
      <c r="C4" s="101" t="str">
        <f>INDEX(A9:B70,MATCH(B4,B9:B70,0),1)</f>
        <v>ZWE</v>
      </c>
      <c r="D4" s="64"/>
      <c r="E4" s="64"/>
      <c r="F4" s="64"/>
      <c r="G4" s="78" t="s">
        <v>283</v>
      </c>
      <c r="H4" s="103">
        <f>VLOOKUP($C$4,$A:$BI,COLUMN(),FALSE)</f>
        <v>15</v>
      </c>
      <c r="I4" s="71">
        <f t="shared" ref="I4:BI4" si="0">VLOOKUP($C$4,$A:$BI,COLUMN(),FALSE)</f>
        <v>69.65117903603479</v>
      </c>
      <c r="J4" s="92">
        <f t="shared" si="0"/>
        <v>10</v>
      </c>
      <c r="K4" s="92">
        <f t="shared" si="0"/>
        <v>4</v>
      </c>
      <c r="L4" s="92">
        <f t="shared" si="0"/>
        <v>8.5</v>
      </c>
      <c r="M4" s="63">
        <f t="shared" si="0"/>
        <v>607</v>
      </c>
      <c r="N4" s="92">
        <f t="shared" si="0"/>
        <v>41.17647058823529</v>
      </c>
      <c r="O4" s="103">
        <f t="shared" si="0"/>
        <v>29</v>
      </c>
      <c r="P4" s="71">
        <f t="shared" si="0"/>
        <v>61.855103487157706</v>
      </c>
      <c r="Q4" s="92">
        <f t="shared" si="0"/>
        <v>4.4000000000000004</v>
      </c>
      <c r="R4" s="92">
        <f t="shared" si="0"/>
        <v>3</v>
      </c>
      <c r="S4" s="92">
        <f t="shared" si="0"/>
        <v>3</v>
      </c>
      <c r="T4" s="63">
        <f t="shared" si="0"/>
        <v>15</v>
      </c>
      <c r="U4" s="92">
        <f t="shared" si="0"/>
        <v>15.882352941176469</v>
      </c>
      <c r="V4" s="103">
        <f t="shared" si="0"/>
        <v>20</v>
      </c>
      <c r="W4" s="71">
        <f t="shared" si="0"/>
        <v>59.811303893299218</v>
      </c>
      <c r="X4" s="92">
        <f t="shared" si="0"/>
        <v>4.5</v>
      </c>
      <c r="Y4" s="92">
        <f t="shared" si="0"/>
        <v>4.6666666666666661</v>
      </c>
      <c r="Z4" s="92">
        <f t="shared" si="0"/>
        <v>4</v>
      </c>
      <c r="AA4" s="63" t="str">
        <f t="shared" si="0"/>
        <v>N/A</v>
      </c>
      <c r="AB4" s="63" t="str">
        <f t="shared" si="0"/>
        <v>N/A</v>
      </c>
      <c r="AC4" s="63">
        <f t="shared" si="0"/>
        <v>3</v>
      </c>
      <c r="AD4" s="92">
        <f t="shared" si="0"/>
        <v>18.823529411764707</v>
      </c>
      <c r="AE4" s="103">
        <f t="shared" si="0"/>
        <v>49</v>
      </c>
      <c r="AF4" s="71">
        <f t="shared" si="0"/>
        <v>38.75</v>
      </c>
      <c r="AG4" s="92">
        <f t="shared" si="0"/>
        <v>0</v>
      </c>
      <c r="AH4" s="92">
        <f t="shared" si="0"/>
        <v>0</v>
      </c>
      <c r="AI4" s="92">
        <f t="shared" si="0"/>
        <v>3.5</v>
      </c>
      <c r="AJ4" s="92">
        <f t="shared" si="0"/>
        <v>5</v>
      </c>
      <c r="AK4" s="92">
        <f t="shared" si="0"/>
        <v>4</v>
      </c>
      <c r="AL4" s="92">
        <f t="shared" si="0"/>
        <v>3</v>
      </c>
      <c r="AM4" s="103">
        <f t="shared" si="0"/>
        <v>42</v>
      </c>
      <c r="AN4" s="71">
        <f t="shared" si="0"/>
        <v>52.986251347584556</v>
      </c>
      <c r="AO4" s="92">
        <f t="shared" si="0"/>
        <v>7.5</v>
      </c>
      <c r="AP4" s="92">
        <f t="shared" si="0"/>
        <v>2</v>
      </c>
      <c r="AQ4" s="92" t="str">
        <f t="shared" si="0"/>
        <v>No data</v>
      </c>
      <c r="AR4" s="63">
        <f t="shared" si="0"/>
        <v>1</v>
      </c>
      <c r="AS4" s="63" t="str">
        <f t="shared" si="0"/>
        <v>No data</v>
      </c>
      <c r="AT4" s="92">
        <f t="shared" si="0"/>
        <v>1.1764705882352942</v>
      </c>
      <c r="AU4" s="105">
        <f t="shared" si="0"/>
        <v>29</v>
      </c>
      <c r="AV4" s="71">
        <f t="shared" si="0"/>
        <v>62.265605313363004</v>
      </c>
      <c r="AW4" s="92">
        <f t="shared" si="0"/>
        <v>5.5</v>
      </c>
      <c r="AX4" s="92">
        <f t="shared" si="0"/>
        <v>5</v>
      </c>
      <c r="AY4" s="92">
        <f t="shared" si="0"/>
        <v>14.705882352941178</v>
      </c>
      <c r="AZ4" s="63">
        <f t="shared" si="0"/>
        <v>4</v>
      </c>
      <c r="BA4" s="63">
        <f t="shared" si="0"/>
        <v>7</v>
      </c>
      <c r="BB4" s="92">
        <f t="shared" si="0"/>
        <v>17.647058823529413</v>
      </c>
      <c r="BC4" s="103">
        <f t="shared" si="0"/>
        <v>31</v>
      </c>
      <c r="BD4" s="71">
        <f t="shared" si="0"/>
        <v>52.28448275862069</v>
      </c>
      <c r="BE4" s="92">
        <f t="shared" si="0"/>
        <v>18</v>
      </c>
      <c r="BF4" s="92">
        <f t="shared" si="0"/>
        <v>8.5</v>
      </c>
      <c r="BG4" s="103">
        <f t="shared" si="0"/>
        <v>52</v>
      </c>
      <c r="BH4" s="71">
        <f t="shared" si="0"/>
        <v>38.888888888888893</v>
      </c>
      <c r="BI4" s="92">
        <f t="shared" si="0"/>
        <v>3.5000000000000004</v>
      </c>
    </row>
    <row r="5" spans="1:61" s="70" customFormat="1" ht="18" x14ac:dyDescent="0.35">
      <c r="A5" s="64"/>
      <c r="B5" s="64"/>
      <c r="C5" s="64"/>
      <c r="D5" s="64"/>
      <c r="E5" s="64"/>
      <c r="F5" s="64"/>
      <c r="G5" s="78" t="s">
        <v>284</v>
      </c>
      <c r="H5" s="104">
        <f>VLOOKUP($C$4,'EBA2017'!$A:$BI,COLUMN(),FALSE)</f>
        <v>15</v>
      </c>
      <c r="I5" s="90">
        <f>VLOOKUP($C$4,'EBA2017'!$A:$BI,COLUMN(),FALSE)</f>
        <v>69.65117903603479</v>
      </c>
      <c r="J5" s="93">
        <f>VLOOKUP($C$4,'EBA2017'!$A:$BI,COLUMN(),FALSE)</f>
        <v>10</v>
      </c>
      <c r="K5" s="93">
        <f>VLOOKUP($C$4,'EBA2017'!$A:$BI,COLUMN(),FALSE)</f>
        <v>4</v>
      </c>
      <c r="L5" s="93">
        <f>VLOOKUP($C$4,'EBA2017'!$A:$BI,COLUMN(),FALSE)</f>
        <v>8.5</v>
      </c>
      <c r="M5" s="91">
        <f>VLOOKUP($C$4,'EBA2017'!$A:$BI,COLUMN(),FALSE)</f>
        <v>607</v>
      </c>
      <c r="N5" s="93">
        <f>VLOOKUP($C$4,'EBA2017'!$A:$BI,COLUMN(),FALSE)</f>
        <v>41.17647058823529</v>
      </c>
      <c r="O5" s="104">
        <f>VLOOKUP($C$4,'EBA2017'!$A:$BI,COLUMN(),FALSE)</f>
        <v>29</v>
      </c>
      <c r="P5" s="90">
        <f>VLOOKUP($C$4,'EBA2017'!$A:$BI,COLUMN(),FALSE)</f>
        <v>61.855103487157706</v>
      </c>
      <c r="Q5" s="93">
        <f>VLOOKUP($C$4,'EBA2017'!$A:$BI,COLUMN(),FALSE)</f>
        <v>4.4000000000000004</v>
      </c>
      <c r="R5" s="93">
        <f>VLOOKUP($C$4,'EBA2017'!$A:$BI,COLUMN(),FALSE)</f>
        <v>3</v>
      </c>
      <c r="S5" s="93">
        <f>VLOOKUP($C$4,'EBA2017'!$A:$BI,COLUMN(),FALSE)</f>
        <v>3</v>
      </c>
      <c r="T5" s="91">
        <f>VLOOKUP($C$4,'EBA2017'!$A:$BI,COLUMN(),FALSE)</f>
        <v>15</v>
      </c>
      <c r="U5" s="93">
        <f>VLOOKUP($C$4,'EBA2017'!$A:$BI,COLUMN(),FALSE)</f>
        <v>15.882352941176469</v>
      </c>
      <c r="V5" s="104">
        <f>VLOOKUP($C$4,'EBA2017'!$A:$BI,COLUMN(),FALSE)</f>
        <v>20</v>
      </c>
      <c r="W5" s="90">
        <f>VLOOKUP($C$4,'EBA2017'!$A:$BI,COLUMN(),FALSE)</f>
        <v>59.811303893299218</v>
      </c>
      <c r="X5" s="93">
        <f>VLOOKUP($C$4,'EBA2017'!$A:$BI,COLUMN(),FALSE)</f>
        <v>4.5</v>
      </c>
      <c r="Y5" s="93">
        <f>VLOOKUP($C$4,'EBA2017'!$A:$BI,COLUMN(),FALSE)</f>
        <v>4.6666666666666661</v>
      </c>
      <c r="Z5" s="93">
        <f>VLOOKUP($C$4,'EBA2017'!$A:$BI,COLUMN(),FALSE)</f>
        <v>4</v>
      </c>
      <c r="AA5" s="91" t="str">
        <f>VLOOKUP($C$4,'EBA2017'!$A:$BI,COLUMN(),FALSE)</f>
        <v>N/A</v>
      </c>
      <c r="AB5" s="91" t="str">
        <f>VLOOKUP($C$4,'EBA2017'!$A:$BI,COLUMN(),FALSE)</f>
        <v>N/A</v>
      </c>
      <c r="AC5" s="91">
        <f>VLOOKUP($C$4,'EBA2017'!$A:$BI,COLUMN(),FALSE)</f>
        <v>3</v>
      </c>
      <c r="AD5" s="93">
        <f>VLOOKUP($C$4,'EBA2017'!$A:$BI,COLUMN(),FALSE)</f>
        <v>18.823529411764707</v>
      </c>
      <c r="AE5" s="104">
        <f>VLOOKUP($C$4,'EBA2017'!$A:$BI,COLUMN(),FALSE)</f>
        <v>49</v>
      </c>
      <c r="AF5" s="90">
        <f>VLOOKUP($C$4,'EBA2017'!$A:$BI,COLUMN(),FALSE)</f>
        <v>38.75</v>
      </c>
      <c r="AG5" s="93">
        <f>VLOOKUP($C$4,'EBA2017'!$A:$BI,COLUMN(),FALSE)</f>
        <v>0</v>
      </c>
      <c r="AH5" s="93">
        <f>VLOOKUP($C$4,'EBA2017'!$A:$BI,COLUMN(),FALSE)</f>
        <v>0</v>
      </c>
      <c r="AI5" s="93">
        <f>VLOOKUP($C$4,'EBA2017'!$A:$BI,COLUMN(),FALSE)</f>
        <v>3.5</v>
      </c>
      <c r="AJ5" s="93">
        <f>VLOOKUP($C$4,'EBA2017'!$A:$BI,COLUMN(),FALSE)</f>
        <v>5</v>
      </c>
      <c r="AK5" s="93">
        <f>VLOOKUP($C$4,'EBA2017'!$A:$BI,COLUMN(),FALSE)</f>
        <v>4</v>
      </c>
      <c r="AL5" s="93">
        <f>VLOOKUP($C$4,'EBA2017'!$A:$BI,COLUMN(),FALSE)</f>
        <v>3</v>
      </c>
      <c r="AM5" s="104">
        <f>VLOOKUP($C$4,'EBA2017'!$A:$BI,COLUMN(),FALSE)</f>
        <v>42</v>
      </c>
      <c r="AN5" s="90">
        <f>VLOOKUP($C$4,'EBA2017'!$A:$BI,COLUMN(),FALSE)</f>
        <v>52.986251347584556</v>
      </c>
      <c r="AO5" s="93">
        <f>VLOOKUP($C$4,'EBA2017'!$A:$BI,COLUMN(),FALSE)</f>
        <v>7.5</v>
      </c>
      <c r="AP5" s="93">
        <f>VLOOKUP($C$4,'EBA2017'!$A:$BI,COLUMN(),FALSE)</f>
        <v>2</v>
      </c>
      <c r="AQ5" s="93" t="str">
        <f>VLOOKUP($C$4,'EBA2017'!$A:$BI,COLUMN(),FALSE)</f>
        <v>No data</v>
      </c>
      <c r="AR5" s="91">
        <f>VLOOKUP($C$4,'EBA2017'!$A:$BI,COLUMN(),FALSE)</f>
        <v>1</v>
      </c>
      <c r="AS5" s="91" t="str">
        <f>VLOOKUP($C$4,'EBA2017'!$A:$BI,COLUMN(),FALSE)</f>
        <v>No data</v>
      </c>
      <c r="AT5" s="93">
        <f>VLOOKUP($C$4,'EBA2017'!$A:$BI,COLUMN(),FALSE)</f>
        <v>1.1764705882352942</v>
      </c>
      <c r="AU5" s="104">
        <f>VLOOKUP($C$4,'EBA2017'!$A:$BI,COLUMN(),FALSE)</f>
        <v>29</v>
      </c>
      <c r="AV5" s="90">
        <f>VLOOKUP($C$4,'EBA2017'!$A:$BI,COLUMN(),FALSE)</f>
        <v>62.265605313363004</v>
      </c>
      <c r="AW5" s="93">
        <f>VLOOKUP($C$4,'EBA2017'!$A:$BI,COLUMN(),FALSE)</f>
        <v>5.5</v>
      </c>
      <c r="AX5" s="93">
        <f>VLOOKUP($C$4,'EBA2017'!$A:$BI,COLUMN(),FALSE)</f>
        <v>5</v>
      </c>
      <c r="AY5" s="93">
        <f>VLOOKUP($C$4,'EBA2017'!$A:$BI,COLUMN(),FALSE)</f>
        <v>14.705882352941178</v>
      </c>
      <c r="AZ5" s="91">
        <f>VLOOKUP($C$4,'EBA2017'!$A:$BI,COLUMN(),FALSE)</f>
        <v>4</v>
      </c>
      <c r="BA5" s="91">
        <f>VLOOKUP($C$4,'EBA2017'!$A:$BI,COLUMN(),FALSE)</f>
        <v>7</v>
      </c>
      <c r="BB5" s="93">
        <f>VLOOKUP($C$4,'EBA2017'!$A:$BI,COLUMN(),FALSE)</f>
        <v>17.647058823529413</v>
      </c>
      <c r="BC5" s="104">
        <f>VLOOKUP($C$4,'EBA2017'!$A:$BI,COLUMN(),FALSE)</f>
        <v>31</v>
      </c>
      <c r="BD5" s="90">
        <f>VLOOKUP($C$4,'EBA2017'!$A:$BI,COLUMN(),FALSE)</f>
        <v>52.28448275862069</v>
      </c>
      <c r="BE5" s="93">
        <f>VLOOKUP($C$4,'EBA2017'!$A:$BI,COLUMN(),FALSE)</f>
        <v>18</v>
      </c>
      <c r="BF5" s="93">
        <f>VLOOKUP($C$4,'EBA2017'!$A:$BI,COLUMN(),FALSE)</f>
        <v>8.5</v>
      </c>
      <c r="BG5" s="104">
        <f>VLOOKUP($C$4,'EBA2017'!$A:$BI,COLUMN(),FALSE)</f>
        <v>52</v>
      </c>
      <c r="BH5" s="90">
        <f>VLOOKUP($C$4,'EBA2017'!$A:$BI,COLUMN(),FALSE)</f>
        <v>38.888888888888893</v>
      </c>
      <c r="BI5" s="93">
        <f>VLOOKUP($C$4,'EBA2017'!$A:$BI,COLUMN(),FALSE)</f>
        <v>3.5000000000000004</v>
      </c>
    </row>
    <row r="6" spans="1:61" x14ac:dyDescent="0.2">
      <c r="A6" s="24"/>
      <c r="B6" s="24"/>
      <c r="C6" s="24"/>
      <c r="D6" s="24"/>
      <c r="E6" s="24"/>
      <c r="F6" s="24"/>
      <c r="G6" s="62"/>
      <c r="H6" s="80"/>
      <c r="I6" s="79"/>
      <c r="J6" s="80">
        <v>10</v>
      </c>
      <c r="K6" s="80">
        <v>8</v>
      </c>
      <c r="L6" s="80">
        <v>12</v>
      </c>
      <c r="M6" s="81"/>
      <c r="N6" s="80"/>
      <c r="O6" s="80"/>
      <c r="P6" s="79"/>
      <c r="Q6" s="80">
        <v>7</v>
      </c>
      <c r="R6" s="80">
        <v>7</v>
      </c>
      <c r="S6" s="80">
        <v>7</v>
      </c>
      <c r="T6" s="81"/>
      <c r="U6" s="80"/>
      <c r="V6" s="80"/>
      <c r="W6" s="79"/>
      <c r="X6" s="80">
        <v>5</v>
      </c>
      <c r="Y6" s="80">
        <v>8</v>
      </c>
      <c r="Z6" s="80">
        <v>5</v>
      </c>
      <c r="AA6" s="81"/>
      <c r="AB6" s="80"/>
      <c r="AC6" s="81"/>
      <c r="AD6" s="80"/>
      <c r="AE6" s="80"/>
      <c r="AF6" s="79"/>
      <c r="AG6" s="80">
        <v>5</v>
      </c>
      <c r="AH6" s="80">
        <v>4</v>
      </c>
      <c r="AI6" s="80">
        <v>5</v>
      </c>
      <c r="AJ6" s="80">
        <v>8</v>
      </c>
      <c r="AK6" s="80">
        <v>7</v>
      </c>
      <c r="AL6" s="80">
        <v>7</v>
      </c>
      <c r="AM6" s="80"/>
      <c r="AN6" s="79"/>
      <c r="AO6" s="80">
        <v>13</v>
      </c>
      <c r="AP6" s="80">
        <v>8</v>
      </c>
      <c r="AQ6" s="80">
        <v>9</v>
      </c>
      <c r="AR6" s="81"/>
      <c r="AS6" s="81"/>
      <c r="AT6" s="80"/>
      <c r="AU6" s="80"/>
      <c r="AV6" s="79"/>
      <c r="AW6" s="80">
        <v>11</v>
      </c>
      <c r="AX6" s="80"/>
      <c r="AY6" s="80"/>
      <c r="AZ6" s="80">
        <v>9</v>
      </c>
      <c r="BA6" s="81"/>
      <c r="BB6" s="80"/>
      <c r="BC6" s="80"/>
      <c r="BD6" s="79"/>
      <c r="BE6" s="80">
        <v>29</v>
      </c>
      <c r="BF6" s="80">
        <v>20</v>
      </c>
      <c r="BG6" s="80"/>
      <c r="BH6" s="79"/>
      <c r="BI6" s="80">
        <v>9</v>
      </c>
    </row>
    <row r="7" spans="1:61" ht="15" customHeight="1" x14ac:dyDescent="0.25">
      <c r="A7" s="133" t="s">
        <v>285</v>
      </c>
      <c r="B7" s="134"/>
      <c r="C7" s="134"/>
      <c r="D7" s="134"/>
      <c r="E7" s="134"/>
      <c r="F7" s="134"/>
      <c r="G7" s="135"/>
      <c r="H7" s="136" t="s">
        <v>164</v>
      </c>
      <c r="I7" s="137"/>
      <c r="J7" s="137"/>
      <c r="K7" s="137"/>
      <c r="L7" s="137"/>
      <c r="M7" s="137"/>
      <c r="N7" s="138"/>
      <c r="O7" s="130" t="s">
        <v>147</v>
      </c>
      <c r="P7" s="131"/>
      <c r="Q7" s="131"/>
      <c r="R7" s="131"/>
      <c r="S7" s="131"/>
      <c r="T7" s="131"/>
      <c r="U7" s="139"/>
      <c r="V7" s="136" t="s">
        <v>148</v>
      </c>
      <c r="W7" s="137"/>
      <c r="X7" s="137"/>
      <c r="Y7" s="137"/>
      <c r="Z7" s="137"/>
      <c r="AA7" s="137"/>
      <c r="AB7" s="137"/>
      <c r="AC7" s="137"/>
      <c r="AD7" s="138"/>
      <c r="AE7" s="130" t="s">
        <v>149</v>
      </c>
      <c r="AF7" s="131"/>
      <c r="AG7" s="131"/>
      <c r="AH7" s="131"/>
      <c r="AI7" s="131"/>
      <c r="AJ7" s="131"/>
      <c r="AK7" s="131"/>
      <c r="AL7" s="139"/>
      <c r="AM7" s="136" t="s">
        <v>186</v>
      </c>
      <c r="AN7" s="137"/>
      <c r="AO7" s="137"/>
      <c r="AP7" s="137"/>
      <c r="AQ7" s="137"/>
      <c r="AR7" s="137"/>
      <c r="AS7" s="137"/>
      <c r="AT7" s="138"/>
      <c r="AU7" s="130" t="s">
        <v>150</v>
      </c>
      <c r="AV7" s="131"/>
      <c r="AW7" s="131"/>
      <c r="AX7" s="131"/>
      <c r="AY7" s="131"/>
      <c r="AZ7" s="131"/>
      <c r="BA7" s="131"/>
      <c r="BB7" s="139"/>
      <c r="BC7" s="136" t="s">
        <v>151</v>
      </c>
      <c r="BD7" s="137"/>
      <c r="BE7" s="137"/>
      <c r="BF7" s="138"/>
      <c r="BG7" s="130" t="s">
        <v>152</v>
      </c>
      <c r="BH7" s="131"/>
      <c r="BI7" s="131"/>
    </row>
    <row r="8" spans="1:61" s="2" customFormat="1" ht="84" x14ac:dyDescent="0.2">
      <c r="A8" s="5" t="s">
        <v>0</v>
      </c>
      <c r="B8" s="5" t="s">
        <v>1</v>
      </c>
      <c r="C8" s="5" t="s">
        <v>2</v>
      </c>
      <c r="D8" s="5" t="s">
        <v>3</v>
      </c>
      <c r="E8" s="5" t="s">
        <v>4</v>
      </c>
      <c r="F8" s="5" t="s">
        <v>156</v>
      </c>
      <c r="G8" s="5" t="s">
        <v>157</v>
      </c>
      <c r="H8" s="8" t="s">
        <v>205</v>
      </c>
      <c r="I8" s="14" t="s">
        <v>165</v>
      </c>
      <c r="J8" s="115" t="s">
        <v>187</v>
      </c>
      <c r="K8" s="7" t="s">
        <v>188</v>
      </c>
      <c r="L8" s="115" t="s">
        <v>191</v>
      </c>
      <c r="M8" s="17" t="s">
        <v>189</v>
      </c>
      <c r="N8" s="115" t="s">
        <v>190</v>
      </c>
      <c r="O8" s="8" t="s">
        <v>206</v>
      </c>
      <c r="P8" s="14" t="s">
        <v>166</v>
      </c>
      <c r="Q8" s="115" t="s">
        <v>192</v>
      </c>
      <c r="R8" s="7" t="s">
        <v>193</v>
      </c>
      <c r="S8" s="115" t="s">
        <v>194</v>
      </c>
      <c r="T8" s="17" t="s">
        <v>173</v>
      </c>
      <c r="U8" s="115" t="s">
        <v>174</v>
      </c>
      <c r="V8" s="8" t="s">
        <v>207</v>
      </c>
      <c r="W8" s="14" t="s">
        <v>167</v>
      </c>
      <c r="X8" s="115" t="s">
        <v>216</v>
      </c>
      <c r="Y8" s="7" t="s">
        <v>195</v>
      </c>
      <c r="Z8" s="115" t="s">
        <v>196</v>
      </c>
      <c r="AA8" s="17" t="s">
        <v>177</v>
      </c>
      <c r="AB8" s="115" t="s">
        <v>178</v>
      </c>
      <c r="AC8" s="17" t="s">
        <v>175</v>
      </c>
      <c r="AD8" s="115" t="s">
        <v>176</v>
      </c>
      <c r="AE8" s="10" t="s">
        <v>208</v>
      </c>
      <c r="AF8" s="16" t="s">
        <v>168</v>
      </c>
      <c r="AG8" s="113" t="s">
        <v>217</v>
      </c>
      <c r="AH8" s="7" t="s">
        <v>218</v>
      </c>
      <c r="AI8" s="113" t="s">
        <v>219</v>
      </c>
      <c r="AJ8" s="7" t="s">
        <v>220</v>
      </c>
      <c r="AK8" s="113" t="s">
        <v>221</v>
      </c>
      <c r="AL8" s="7" t="s">
        <v>222</v>
      </c>
      <c r="AM8" s="10" t="s">
        <v>209</v>
      </c>
      <c r="AN8" s="16" t="s">
        <v>169</v>
      </c>
      <c r="AO8" s="113" t="s">
        <v>197</v>
      </c>
      <c r="AP8" s="7" t="s">
        <v>198</v>
      </c>
      <c r="AQ8" s="113" t="s">
        <v>199</v>
      </c>
      <c r="AR8" s="17" t="s">
        <v>179</v>
      </c>
      <c r="AS8" s="114" t="s">
        <v>180</v>
      </c>
      <c r="AT8" s="7" t="s">
        <v>181</v>
      </c>
      <c r="AU8" s="10" t="s">
        <v>210</v>
      </c>
      <c r="AV8" s="16" t="s">
        <v>170</v>
      </c>
      <c r="AW8" s="113" t="s">
        <v>200</v>
      </c>
      <c r="AX8" s="7" t="s">
        <v>182</v>
      </c>
      <c r="AY8" s="113" t="s">
        <v>183</v>
      </c>
      <c r="AZ8" s="7" t="s">
        <v>201</v>
      </c>
      <c r="BA8" s="112" t="s">
        <v>184</v>
      </c>
      <c r="BB8" s="7" t="s">
        <v>185</v>
      </c>
      <c r="BC8" s="10" t="s">
        <v>211</v>
      </c>
      <c r="BD8" s="16" t="s">
        <v>171</v>
      </c>
      <c r="BE8" s="111" t="s">
        <v>202</v>
      </c>
      <c r="BF8" s="7" t="s">
        <v>203</v>
      </c>
      <c r="BG8" s="10" t="s">
        <v>212</v>
      </c>
      <c r="BH8" s="16" t="s">
        <v>172</v>
      </c>
      <c r="BI8" s="111" t="s">
        <v>204</v>
      </c>
    </row>
    <row r="9" spans="1:61" x14ac:dyDescent="0.2">
      <c r="A9" s="2" t="s">
        <v>5</v>
      </c>
      <c r="B9" s="3" t="s">
        <v>6</v>
      </c>
      <c r="C9" s="3" t="s">
        <v>7</v>
      </c>
      <c r="D9" s="3" t="s">
        <v>8</v>
      </c>
      <c r="E9" s="3" t="s">
        <v>9</v>
      </c>
      <c r="F9" s="3" t="s">
        <v>159</v>
      </c>
      <c r="G9" s="3" t="s">
        <v>163</v>
      </c>
      <c r="H9" s="30">
        <f>RANK(I9,I$9:I$70)</f>
        <v>28</v>
      </c>
      <c r="I9" s="31">
        <f>VLOOKUP($A9,'Seed Base Calc'!$A:$S,19,FALSE)</f>
        <v>62.192446401922609</v>
      </c>
      <c r="J9" s="4">
        <f>IF(AND($C$4=$A9,J$3&lt;&gt;""),J$3,'EBA2017'!J9)</f>
        <v>8</v>
      </c>
      <c r="K9" s="4">
        <f>IF(AND($C$4=$A9,K$3&lt;&gt;""),K$3,'EBA2017'!K9)</f>
        <v>6.5</v>
      </c>
      <c r="L9" s="4">
        <f>IF(AND($C$4=$A9,L$3&lt;&gt;""),L$3,'EBA2017'!L9)</f>
        <v>2</v>
      </c>
      <c r="M9" s="12">
        <f>IF(AND($C$4=$A9,M$3&lt;&gt;""),M$3,'EBA2017'!M9)</f>
        <v>587</v>
      </c>
      <c r="N9" s="4">
        <f>IF(AND($C$4=$A9,N$3&lt;&gt;""),N$3,'EBA2017'!N9)</f>
        <v>18.483757633238948</v>
      </c>
      <c r="O9" s="30">
        <f>RANK(P9,P$9:P$70)</f>
        <v>53</v>
      </c>
      <c r="P9" s="31">
        <f>VLOOKUP($A9,'Fert Base Calc'!$A:$S,19,FALSE)</f>
        <v>28.571428571428569</v>
      </c>
      <c r="Q9" s="4">
        <f>IF(AND($C$4=$A9,Q$3&lt;&gt;""),Q$3,'EBA2017'!Q9)</f>
        <v>0</v>
      </c>
      <c r="R9" s="4">
        <f>IF(AND($C$4=$A9,R$3&lt;&gt;""),R$3,'EBA2017'!R9)</f>
        <v>2</v>
      </c>
      <c r="S9" s="4">
        <f>IF(AND($C$4=$A9,S$3&lt;&gt;""),S$3,'EBA2017'!S9)</f>
        <v>6</v>
      </c>
      <c r="T9" s="12" t="str">
        <f>IF(AND($C$4=$A9,T$3&lt;&gt;""),T$3,'EBA2017'!T9)</f>
        <v>N/A</v>
      </c>
      <c r="U9" s="4" t="str">
        <f>IF(AND($C$4=$A9,U$3&lt;&gt;""),U$3,'EBA2017'!U9)</f>
        <v>N/A</v>
      </c>
      <c r="V9" s="30">
        <f>RANK(W9,W$9:W$70)</f>
        <v>30</v>
      </c>
      <c r="W9" s="31">
        <f>VLOOKUP($A9,'Mech Base Calc'!$A:$Z,24,FALSE)</f>
        <v>53.659444586139351</v>
      </c>
      <c r="X9" s="4">
        <f>IF(AND($C$4=$A9,X$3&lt;&gt;""),X$3,'EBA2017'!X9)</f>
        <v>0.5</v>
      </c>
      <c r="Y9" s="4">
        <f>IF(AND($C$4=$A9,Y$3&lt;&gt;""),Y$3,'EBA2017'!Y9)</f>
        <v>5</v>
      </c>
      <c r="Z9" s="4">
        <f>IF(AND($C$4=$A9,Z$3&lt;&gt;""),Z$3,'EBA2017'!Z9)</f>
        <v>5</v>
      </c>
      <c r="AA9" s="12" t="str">
        <f>IF(AND($C$4=$A9,AA$3&lt;&gt;""),AA$3,'EBA2017'!AA9)</f>
        <v>No practice</v>
      </c>
      <c r="AB9" s="4" t="str">
        <f>IF(AND($C$4=$A9,AB$3&lt;&gt;""),AB$3,'EBA2017'!AB9)</f>
        <v>No practice</v>
      </c>
      <c r="AC9" s="12">
        <f>IF(AND($C$4=$A9,AC$3&lt;&gt;""),AC$3,'EBA2017'!AC9)</f>
        <v>3</v>
      </c>
      <c r="AD9" s="4">
        <f>IF(AND($C$4=$A9,AD$3&lt;&gt;""),AD$3,'EBA2017'!AD9)</f>
        <v>0.28790899740247583</v>
      </c>
      <c r="AE9" s="30">
        <f>RANK(AF9,AF$9:AF$70)</f>
        <v>52</v>
      </c>
      <c r="AF9" s="31">
        <f>100*AVERAGE(IF(VLOOKUP(A9,'Data Gaps'!A:O,15,FALSE)="X",Calculator!AH9/4,AVERAGE(AG9/5,AH9/4)),AVERAGE(AI9/5,AJ9/8),IF(VLOOKUP(A9,'Data Gaps'!A:O,15,FALSE)="X",Calculator!AL9/7,AVERAGE(AK9/7,AL9/7)))</f>
        <v>35.863095238095241</v>
      </c>
      <c r="AG9" s="4">
        <f>IF(AND($C$4=$A9,AG$3&lt;&gt;""),AG$3,'EBA2017'!AG9)</f>
        <v>0</v>
      </c>
      <c r="AH9" s="4">
        <f>IF(AND($C$4=$A9,AH$3&lt;&gt;""),AH$3,'EBA2017'!AH9)</f>
        <v>3.75</v>
      </c>
      <c r="AI9" s="4">
        <f>IF(AND($C$4=$A9,AI$3&lt;&gt;""),AI$3,'EBA2017'!AI9)</f>
        <v>0</v>
      </c>
      <c r="AJ9" s="4">
        <f>IF(AND($C$4=$A9,AJ$3&lt;&gt;""),AJ$3,'EBA2017'!AJ9)</f>
        <v>4</v>
      </c>
      <c r="AK9" s="4">
        <f>IF(AND($C$4=$A9,AK$3&lt;&gt;""),AK$3,'EBA2017'!AK9)</f>
        <v>0</v>
      </c>
      <c r="AL9" s="4">
        <f>IF(AND($C$4=$A9,AL$3&lt;&gt;""),AL$3,'EBA2017'!AL9)</f>
        <v>5</v>
      </c>
      <c r="AM9" s="30">
        <f>RANK(AN9,AN$9:AN$70)</f>
        <v>23</v>
      </c>
      <c r="AN9" s="31">
        <f>VLOOKUP($A9,'Mark Base Calc'!$A:$Z,21,FALSE)</f>
        <v>64.870095182595193</v>
      </c>
      <c r="AO9" s="4">
        <f>IF(AND($C$4=$A9,AO$3&lt;&gt;""),AO$3,'EBA2017'!AO9)</f>
        <v>9.3000000000000007</v>
      </c>
      <c r="AP9" s="4">
        <f>IF(AND($C$4=$A9,AP$3&lt;&gt;""),AP$3,'EBA2017'!AP9)</f>
        <v>3.5</v>
      </c>
      <c r="AQ9" s="4">
        <f>IF(AND($C$4=$A9,AQ$3&lt;&gt;""),AQ$3,'EBA2017'!AQ9)</f>
        <v>5</v>
      </c>
      <c r="AR9" s="12">
        <f>IF(AND($C$4=$A9,AR$3&lt;&gt;""),AR$3,'EBA2017'!AR9)</f>
        <v>1</v>
      </c>
      <c r="AS9" s="12">
        <f>IF(AND($C$4=$A9,AS$3&lt;&gt;""),AS$3,'EBA2017'!AS9)</f>
        <v>1</v>
      </c>
      <c r="AT9" s="4">
        <f>IF(AND($C$4=$A9,AT$3&lt;&gt;""),AT$3,'EBA2017'!AT9)</f>
        <v>0</v>
      </c>
      <c r="AU9" s="30">
        <f>RANK(AV9,AV$9:AV$70)</f>
        <v>56</v>
      </c>
      <c r="AV9" s="31">
        <f>100*AVERAGE((AW9/11),AVERAGE(IF(AX9="No data","No data",IF(OR(AX9="No practice",AX9="N/A",AX9&gt;PERCENTILE($AX$9:$AX$70,0.95)),0,(PERCENTILE($AX$9:$AX$70,0.95)-AX9)/(PERCENTILE($AX$9:$AX$70,0.95)-MIN($AX$9:$AX$70)))),IF(AY9="No data","No data",IF(OR(AY9="No practice",AY9="N/A",AY9&gt;PERCENTILE($AY$9:$AY$70,0.95)),0,(PERCENTILE($AY$9:$AY$70,0.95)-AY9)/(PERCENTILE($AY$9:$AY$70,0.95)-MIN($AY$9:$AY$70))))),(AZ9/9),AVERAGE(IF(BA9="No data","No data",IF(OR(BA9="No practice",BA9="N/A",BA9&gt;PERCENTILE($BA$9:$BA$70,0.95)),0,(PERCENTILE($BA$9:$BA$70,0.95)-BA9)/(PERCENTILE($BA$9:$BA$70,0.95)-MIN($BA$9:$BA$70)))),IF(BB9="No data","No data",IF(OR(BB9="No practice",BB9="N/A",BB9&gt;PERCENTILE($BB$9:$BB$70,0.95)),0,(PERCENTILE($BB$9:$BB$70,0.95)-BB9)/(PERCENTILE($BB$9:$BB$70,0.95)-MIN($BB$9:$BB$70))))))</f>
        <v>18.434343434343436</v>
      </c>
      <c r="AW9" s="4">
        <f>IF(AND($C$4=$A9,AW$3&lt;&gt;""),AW$3,'EBA2017'!AW9)</f>
        <v>2.0000000000000004</v>
      </c>
      <c r="AX9" s="4" t="str">
        <f>IF(AND($C$4=$A9,AX$3&lt;&gt;""),AX$3,'EBA2017'!AX9)</f>
        <v>N/A</v>
      </c>
      <c r="AY9" s="4" t="str">
        <f>IF(AND($C$4=$A9,AY$3&lt;&gt;""),AY$3,'EBA2017'!AY9)</f>
        <v>N/A</v>
      </c>
      <c r="AZ9" s="4">
        <f>IF(AND($C$4=$A9,AZ$3&lt;&gt;""),AZ$3,'EBA2017'!AZ9)</f>
        <v>5</v>
      </c>
      <c r="BA9" s="12" t="str">
        <f>IF(AND($C$4=$A9,BA$3&lt;&gt;""),BA$3,'EBA2017'!BA9)</f>
        <v>N/A</v>
      </c>
      <c r="BB9" s="4" t="str">
        <f>IF(AND($C$4=$A9,BB$3&lt;&gt;""),BB$3,'EBA2017'!BB9)</f>
        <v>N/A</v>
      </c>
      <c r="BC9" s="30">
        <f>RANK(BD9,BD$9:BD$70)</f>
        <v>5</v>
      </c>
      <c r="BD9" s="31">
        <f>100*AVERAGE(BE9/29,BF9/20)</f>
        <v>82.543103448275872</v>
      </c>
      <c r="BE9" s="4">
        <f>IF(AND($C$4=$A9,BE$3&lt;&gt;""),BE$3,'EBA2017'!BE9)</f>
        <v>22.500000000000004</v>
      </c>
      <c r="BF9" s="4">
        <f>IF(AND($C$4=$A9,BF$3&lt;&gt;""),BF$3,'EBA2017'!BF9)</f>
        <v>17.5</v>
      </c>
      <c r="BG9" s="30">
        <f>RANK(BH9,BH$9:BH$70)</f>
        <v>31</v>
      </c>
      <c r="BH9" s="31">
        <f>100*BI9/9</f>
        <v>55.555555555555557</v>
      </c>
      <c r="BI9" s="4">
        <f>IF(AND($C$4=$A9,BI$3&lt;&gt;""),BI$3,'EBA2017'!BI9)</f>
        <v>5</v>
      </c>
    </row>
    <row r="10" spans="1:61" x14ac:dyDescent="0.2">
      <c r="A10" s="2" t="s">
        <v>10</v>
      </c>
      <c r="B10" s="3" t="s">
        <v>11</v>
      </c>
      <c r="C10" s="3" t="s">
        <v>12</v>
      </c>
      <c r="D10" s="3" t="s">
        <v>13</v>
      </c>
      <c r="E10" s="3" t="s">
        <v>9</v>
      </c>
      <c r="F10" s="3" t="s">
        <v>159</v>
      </c>
      <c r="G10" s="3" t="s">
        <v>158</v>
      </c>
      <c r="H10" s="30">
        <f t="shared" ref="H10:H70" si="1">RANK(I10,I$9:I$70)</f>
        <v>54</v>
      </c>
      <c r="I10" s="31">
        <f>VLOOKUP($A10,'Seed Base Calc'!$A:$S,19,FALSE)</f>
        <v>34.270833333333336</v>
      </c>
      <c r="J10" s="4">
        <f>IF(AND($C$4=$A10,J$3&lt;&gt;""),J$3,'EBA2017'!J10)</f>
        <v>6</v>
      </c>
      <c r="K10" s="4">
        <f>IF(AND($C$4=$A10,K$3&lt;&gt;""),K$3,'EBA2017'!K10)</f>
        <v>5.5</v>
      </c>
      <c r="L10" s="4">
        <f>IF(AND($C$4=$A10,L$3&lt;&gt;""),L$3,'EBA2017'!L10)</f>
        <v>1</v>
      </c>
      <c r="M10" s="12" t="str">
        <f>IF(AND($C$4=$A10,M$3&lt;&gt;""),M$3,'EBA2017'!M10)</f>
        <v>No practice</v>
      </c>
      <c r="N10" s="4" t="str">
        <f>IF(AND($C$4=$A10,N$3&lt;&gt;""),N$3,'EBA2017'!N10)</f>
        <v>No practice</v>
      </c>
      <c r="O10" s="30">
        <f t="shared" ref="O10:O70" si="2">RANK(P10,P$9:P$70)</f>
        <v>35</v>
      </c>
      <c r="P10" s="31">
        <f>VLOOKUP($A10,'Fert Base Calc'!$A:$S,19,FALSE)</f>
        <v>54.250841660341031</v>
      </c>
      <c r="Q10" s="4">
        <f>IF(AND($C$4=$A10,Q$3&lt;&gt;""),Q$3,'EBA2017'!Q10)</f>
        <v>4.4000000000000004</v>
      </c>
      <c r="R10" s="4">
        <f>IF(AND($C$4=$A10,R$3&lt;&gt;""),R$3,'EBA2017'!R10)</f>
        <v>4.5000000000000009</v>
      </c>
      <c r="S10" s="4">
        <f>IF(AND($C$4=$A10,S$3&lt;&gt;""),S$3,'EBA2017'!S10)</f>
        <v>3</v>
      </c>
      <c r="T10" s="12">
        <f>IF(AND($C$4=$A10,T$3&lt;&gt;""),T$3,'EBA2017'!T10)</f>
        <v>945</v>
      </c>
      <c r="U10" s="4">
        <f>IF(AND($C$4=$A10,U$3&lt;&gt;""),U$3,'EBA2017'!U10)</f>
        <v>58.761479511133373</v>
      </c>
      <c r="V10" s="30">
        <f t="shared" ref="V10:V70" si="3">RANK(W10,W$9:W$70)</f>
        <v>49</v>
      </c>
      <c r="W10" s="31">
        <f>VLOOKUP($A10,'Mech Base Calc'!$A:$Z,24,FALSE)</f>
        <v>30.441487867214477</v>
      </c>
      <c r="X10" s="4">
        <f>IF(AND($C$4=$A10,X$3&lt;&gt;""),X$3,'EBA2017'!X10)</f>
        <v>3</v>
      </c>
      <c r="Y10" s="4">
        <f>IF(AND($C$4=$A10,Y$3&lt;&gt;""),Y$3,'EBA2017'!Y10)</f>
        <v>0.33333333333333326</v>
      </c>
      <c r="Z10" s="4">
        <f>IF(AND($C$4=$A10,Z$3&lt;&gt;""),Z$3,'EBA2017'!Z10)</f>
        <v>1.5</v>
      </c>
      <c r="AA10" s="12" t="str">
        <f>IF(AND($C$4=$A10,AA$3&lt;&gt;""),AA$3,'EBA2017'!AA10)</f>
        <v>N/A</v>
      </c>
      <c r="AB10" s="4" t="str">
        <f>IF(AND($C$4=$A10,AB$3&lt;&gt;""),AB$3,'EBA2017'!AB10)</f>
        <v>N/A</v>
      </c>
      <c r="AC10" s="12">
        <f>IF(AND($C$4=$A10,AC$3&lt;&gt;""),AC$3,'EBA2017'!AC10)</f>
        <v>17</v>
      </c>
      <c r="AD10" s="4">
        <f>IF(AND($C$4=$A10,AD$3&lt;&gt;""),AD$3,'EBA2017'!AD10)</f>
        <v>8.2963241411481583</v>
      </c>
      <c r="AE10" s="30">
        <f t="shared" ref="AE10:AE70" si="4">RANK(AF10,AF$9:AF$70)</f>
        <v>23</v>
      </c>
      <c r="AF10" s="31">
        <f>100*AVERAGE(IF(VLOOKUP(A10,'Data Gaps'!A:O,15,FALSE)="X",Calculator!AH10/4,AVERAGE(AG10/5,AH10/4)),AVERAGE(AI10/5,AJ10/8),IF(VLOOKUP(A10,'Data Gaps'!A:O,15,FALSE)="X",Calculator!AL10/7,AVERAGE(AK10/7,AL10/7)))</f>
        <v>56.714285714285708</v>
      </c>
      <c r="AG10" s="4">
        <f>IF(AND($C$4=$A10,AG$3&lt;&gt;""),AG$3,'EBA2017'!AG10)</f>
        <v>4.6749999999999998</v>
      </c>
      <c r="AH10" s="4">
        <f>IF(AND($C$4=$A10,AH$3&lt;&gt;""),AH$3,'EBA2017'!AH10)</f>
        <v>1</v>
      </c>
      <c r="AI10" s="4">
        <f>IF(AND($C$4=$A10,AI$3&lt;&gt;""),AI$3,'EBA2017'!AI10)</f>
        <v>3.5</v>
      </c>
      <c r="AJ10" s="4">
        <f>IF(AND($C$4=$A10,AJ$3&lt;&gt;""),AJ$3,'EBA2017'!AJ10)</f>
        <v>3</v>
      </c>
      <c r="AK10" s="4">
        <f>IF(AND($C$4=$A10,AK$3&lt;&gt;""),AK$3,'EBA2017'!AK10)</f>
        <v>4</v>
      </c>
      <c r="AL10" s="4">
        <f>IF(AND($C$4=$A10,AL$3&lt;&gt;""),AL$3,'EBA2017'!AL10)</f>
        <v>4</v>
      </c>
      <c r="AM10" s="30">
        <f t="shared" ref="AM10:AM70" si="5">RANK(AN10,AN$9:AN$70)</f>
        <v>21</v>
      </c>
      <c r="AN10" s="31">
        <f>VLOOKUP($A10,'Mark Base Calc'!$A:$Z,21,FALSE)</f>
        <v>66.098693371304407</v>
      </c>
      <c r="AO10" s="4">
        <f>IF(AND($C$4=$A10,AO$3&lt;&gt;""),AO$3,'EBA2017'!AO10)</f>
        <v>6</v>
      </c>
      <c r="AP10" s="4">
        <f>IF(AND($C$4=$A10,AP$3&lt;&gt;""),AP$3,'EBA2017'!AP10)</f>
        <v>6</v>
      </c>
      <c r="AQ10" s="4">
        <f>IF(AND($C$4=$A10,AQ$3&lt;&gt;""),AQ$3,'EBA2017'!AQ10)</f>
        <v>5</v>
      </c>
      <c r="AR10" s="12">
        <f>IF(AND($C$4=$A10,AR$3&lt;&gt;""),AR$3,'EBA2017'!AR10)</f>
        <v>1</v>
      </c>
      <c r="AS10" s="12">
        <f>IF(AND($C$4=$A10,AS$3&lt;&gt;""),AS$3,'EBA2017'!AS10)</f>
        <v>1</v>
      </c>
      <c r="AT10" s="4">
        <f>IF(AND($C$4=$A10,AT$3&lt;&gt;""),AT$3,'EBA2017'!AT10)</f>
        <v>0.14939359197745775</v>
      </c>
      <c r="AU10" s="30">
        <f t="shared" ref="AU10:AU70" si="6">RANK(AV10,AV$9:AV$70)</f>
        <v>43</v>
      </c>
      <c r="AV10" s="31">
        <f t="shared" ref="AV10:AV70" si="7">100*AVERAGE((AW10/11),AVERAGE(IF(AX10="No data","No data",IF(OR(AX10="No practice",AX10="N/A",AX10&gt;PERCENTILE($AX$9:$AX$70,0.95)),0,(PERCENTILE($AX$9:$AX$70,0.95)-AX10)/(PERCENTILE($AX$9:$AX$70,0.95)-MIN($AX$9:$AX$70)))),IF(AY10="No data","No data",IF(OR(AY10="No practice",AY10="N/A",AY10&gt;PERCENTILE($AY$9:$AY$70,0.95)),0,(PERCENTILE($AY$9:$AY$70,0.95)-AY10)/(PERCENTILE($AY$9:$AY$70,0.95)-MIN($AY$9:$AY$70))))),(AZ10/9),AVERAGE(IF(BA10="No data","No data",IF(OR(BA10="No practice",BA10="N/A",BA10&gt;PERCENTILE($BA$9:$BA$70,0.95)),0,(PERCENTILE($BA$9:$BA$70,0.95)-BA10)/(PERCENTILE($BA$9:$BA$70,0.95)-MIN($BA$9:$BA$70)))),IF(BB10="No data","No data",IF(OR(BB10="No practice",BB10="N/A",BB10&gt;PERCENTILE($BB$9:$BB$70,0.95)),0,(PERCENTILE($BB$9:$BB$70,0.95)-BB10)/(PERCENTILE($BB$9:$BB$70,0.95)-MIN($BB$9:$BB$70))))))</f>
        <v>45.034509571327852</v>
      </c>
      <c r="AW10" s="4">
        <f>IF(AND($C$4=$A10,AW$3&lt;&gt;""),AW$3,'EBA2017'!AW10)</f>
        <v>4.5000000000000009</v>
      </c>
      <c r="AX10" s="4">
        <f>IF(AND($C$4=$A10,AX$3&lt;&gt;""),AX$3,'EBA2017'!AX10)</f>
        <v>3</v>
      </c>
      <c r="AY10" s="4">
        <f>IF(AND($C$4=$A10,AY$3&lt;&gt;""),AY$3,'EBA2017'!AY10)</f>
        <v>2.5098123452212904</v>
      </c>
      <c r="AZ10" s="4">
        <f>IF(AND($C$4=$A10,AZ$3&lt;&gt;""),AZ$3,'EBA2017'!AZ10)</f>
        <v>4</v>
      </c>
      <c r="BA10" s="12" t="str">
        <f>IF(AND($C$4=$A10,BA$3&lt;&gt;""),BA$3,'EBA2017'!BA10)</f>
        <v>N/A</v>
      </c>
      <c r="BB10" s="4" t="str">
        <f>IF(AND($C$4=$A10,BB$3&lt;&gt;""),BB$3,'EBA2017'!BB10)</f>
        <v>N/A</v>
      </c>
      <c r="BC10" s="30">
        <f t="shared" ref="BC10:BC70" si="8">RANK(BD10,BD$9:BD$70)</f>
        <v>56</v>
      </c>
      <c r="BD10" s="31">
        <f t="shared" ref="BD10:BD70" si="9">100*AVERAGE(BE10/29,BF10/20)</f>
        <v>14.655172413793101</v>
      </c>
      <c r="BE10" s="4">
        <f>IF(AND($C$4=$A10,BE$3&lt;&gt;""),BE$3,'EBA2017'!BE10)</f>
        <v>8.5</v>
      </c>
      <c r="BF10" s="4">
        <f>IF(AND($C$4=$A10,BF$3&lt;&gt;""),BF$3,'EBA2017'!BF10)</f>
        <v>0</v>
      </c>
      <c r="BG10" s="30">
        <f t="shared" ref="BG10:BG70" si="10">RANK(BH10,BH$9:BH$70)</f>
        <v>37</v>
      </c>
      <c r="BH10" s="31">
        <f t="shared" ref="BH10:BH70" si="11">100*BI10/9</f>
        <v>50</v>
      </c>
      <c r="BI10" s="4">
        <f>IF(AND($C$4=$A10,BI$3&lt;&gt;""),BI$3,'EBA2017'!BI10)</f>
        <v>4.5</v>
      </c>
    </row>
    <row r="11" spans="1:61" x14ac:dyDescent="0.2">
      <c r="A11" s="2" t="s">
        <v>14</v>
      </c>
      <c r="B11" s="3" t="s">
        <v>15</v>
      </c>
      <c r="C11" s="3" t="s">
        <v>16</v>
      </c>
      <c r="D11" s="3" t="s">
        <v>17</v>
      </c>
      <c r="E11" s="3" t="s">
        <v>18</v>
      </c>
      <c r="F11" s="3" t="s">
        <v>159</v>
      </c>
      <c r="G11" s="3" t="s">
        <v>158</v>
      </c>
      <c r="H11" s="30">
        <f t="shared" si="1"/>
        <v>55</v>
      </c>
      <c r="I11" s="31">
        <f>VLOOKUP($A11,'Seed Base Calc'!$A:$S,19,FALSE)</f>
        <v>32.8125</v>
      </c>
      <c r="J11" s="4">
        <f>IF(AND($C$4=$A11,J$3&lt;&gt;""),J$3,'EBA2017'!J11)</f>
        <v>5</v>
      </c>
      <c r="K11" s="4">
        <f>IF(AND($C$4=$A11,K$3&lt;&gt;""),K$3,'EBA2017'!K11)</f>
        <v>4.5</v>
      </c>
      <c r="L11" s="4">
        <f>IF(AND($C$4=$A11,L$3&lt;&gt;""),L$3,'EBA2017'!L11)</f>
        <v>3</v>
      </c>
      <c r="M11" s="12" t="str">
        <f>IF(AND($C$4=$A11,M$3&lt;&gt;""),M$3,'EBA2017'!M11)</f>
        <v>No practice</v>
      </c>
      <c r="N11" s="4" t="str">
        <f>IF(AND($C$4=$A11,N$3&lt;&gt;""),N$3,'EBA2017'!N11)</f>
        <v>No practice</v>
      </c>
      <c r="O11" s="30">
        <f t="shared" si="2"/>
        <v>61</v>
      </c>
      <c r="P11" s="31">
        <f>VLOOKUP($A11,'Fert Base Calc'!$A:$S,19,FALSE)</f>
        <v>14.583333333333334</v>
      </c>
      <c r="Q11" s="4">
        <f>IF(AND($C$4=$A11,Q$3&lt;&gt;""),Q$3,'EBA2017'!Q11)</f>
        <v>0</v>
      </c>
      <c r="R11" s="4">
        <f>IF(AND($C$4=$A11,R$3&lt;&gt;""),R$3,'EBA2017'!R11)</f>
        <v>0</v>
      </c>
      <c r="S11" s="4">
        <f>IF(AND($C$4=$A11,S$3&lt;&gt;""),S$3,'EBA2017'!S11)</f>
        <v>3.5</v>
      </c>
      <c r="T11" s="12" t="str">
        <f>IF(AND($C$4=$A11,T$3&lt;&gt;""),T$3,'EBA2017'!T11)</f>
        <v>N/A</v>
      </c>
      <c r="U11" s="4" t="str">
        <f>IF(AND($C$4=$A11,U$3&lt;&gt;""),U$3,'EBA2017'!U11)</f>
        <v>N/A</v>
      </c>
      <c r="V11" s="30">
        <f t="shared" si="3"/>
        <v>52</v>
      </c>
      <c r="W11" s="31">
        <f>VLOOKUP($A11,'Mech Base Calc'!$A:$Z,24,FALSE)</f>
        <v>25.833333333333336</v>
      </c>
      <c r="X11" s="4">
        <f>IF(AND($C$4=$A11,X$3&lt;&gt;""),X$3,'EBA2017'!X11)</f>
        <v>0</v>
      </c>
      <c r="Y11" s="4">
        <f>IF(AND($C$4=$A11,Y$3&lt;&gt;""),Y$3,'EBA2017'!Y11)</f>
        <v>2.3333333333333335</v>
      </c>
      <c r="Z11" s="4">
        <f>IF(AND($C$4=$A11,Z$3&lt;&gt;""),Z$3,'EBA2017'!Z11)</f>
        <v>5</v>
      </c>
      <c r="AA11" s="12" t="str">
        <f>IF(AND($C$4=$A11,AA$3&lt;&gt;""),AA$3,'EBA2017'!AA11)</f>
        <v>N/A</v>
      </c>
      <c r="AB11" s="4" t="str">
        <f>IF(AND($C$4=$A11,AB$3&lt;&gt;""),AB$3,'EBA2017'!AB11)</f>
        <v>N/A</v>
      </c>
      <c r="AC11" s="12" t="str">
        <f>IF(AND($C$4=$A11,AC$3&lt;&gt;""),AC$3,'EBA2017'!AC11)</f>
        <v>N/A</v>
      </c>
      <c r="AD11" s="4" t="str">
        <f>IF(AND($C$4=$A11,AD$3&lt;&gt;""),AD$3,'EBA2017'!AD11)</f>
        <v>N/A</v>
      </c>
      <c r="AE11" s="30">
        <f t="shared" si="4"/>
        <v>41</v>
      </c>
      <c r="AF11" s="31">
        <f>100*AVERAGE(IF(VLOOKUP(A11,'Data Gaps'!A:O,15,FALSE)="X",Calculator!AH11/4,AVERAGE(AG11/5,AH11/4)),AVERAGE(AI11/5,AJ11/8),IF(VLOOKUP(A11,'Data Gaps'!A:O,15,FALSE)="X",Calculator!AL11/7,AVERAGE(AK11/7,AL11/7)))</f>
        <v>43.353174603174608</v>
      </c>
      <c r="AG11" s="4">
        <f>IF(AND($C$4=$A11,AG$3&lt;&gt;""),AG$3,'EBA2017'!AG11)</f>
        <v>0</v>
      </c>
      <c r="AH11" s="4">
        <f>IF(AND($C$4=$A11,AH$3&lt;&gt;""),AH$3,'EBA2017'!AH11)</f>
        <v>3.8333333333333339</v>
      </c>
      <c r="AI11" s="4">
        <f>IF(AND($C$4=$A11,AI$3&lt;&gt;""),AI$3,'EBA2017'!AI11)</f>
        <v>0</v>
      </c>
      <c r="AJ11" s="4">
        <f>IF(AND($C$4=$A11,AJ$3&lt;&gt;""),AJ$3,'EBA2017'!AJ11)</f>
        <v>4</v>
      </c>
      <c r="AK11" s="4">
        <f>IF(AND($C$4=$A11,AK$3&lt;&gt;""),AK$3,'EBA2017'!AK11)</f>
        <v>4</v>
      </c>
      <c r="AL11" s="4">
        <f>IF(AND($C$4=$A11,AL$3&lt;&gt;""),AL$3,'EBA2017'!AL11)</f>
        <v>4</v>
      </c>
      <c r="AM11" s="30">
        <f t="shared" si="5"/>
        <v>34</v>
      </c>
      <c r="AN11" s="31">
        <f>VLOOKUP($A11,'Mark Base Calc'!$A:$Z,21,FALSE)</f>
        <v>56.139234492940147</v>
      </c>
      <c r="AO11" s="4">
        <f>IF(AND($C$4=$A11,AO$3&lt;&gt;""),AO$3,'EBA2017'!AO11)</f>
        <v>7.5</v>
      </c>
      <c r="AP11" s="4">
        <f>IF(AND($C$4=$A11,AP$3&lt;&gt;""),AP$3,'EBA2017'!AP11)</f>
        <v>3</v>
      </c>
      <c r="AQ11" s="4">
        <f>IF(AND($C$4=$A11,AQ$3&lt;&gt;""),AQ$3,'EBA2017'!AQ11)</f>
        <v>4.5</v>
      </c>
      <c r="AR11" s="12">
        <f>IF(AND($C$4=$A11,AR$3&lt;&gt;""),AR$3,'EBA2017'!AR11)</f>
        <v>1</v>
      </c>
      <c r="AS11" s="12">
        <f>IF(AND($C$4=$A11,AS$3&lt;&gt;""),AS$3,'EBA2017'!AS11)</f>
        <v>2</v>
      </c>
      <c r="AT11" s="4">
        <f>IF(AND($C$4=$A11,AT$3&lt;&gt;""),AT$3,'EBA2017'!AT11)</f>
        <v>0.98048125778060613</v>
      </c>
      <c r="AU11" s="30">
        <f t="shared" si="6"/>
        <v>48</v>
      </c>
      <c r="AV11" s="31">
        <f t="shared" si="7"/>
        <v>36.323895935506137</v>
      </c>
      <c r="AW11" s="4">
        <f>IF(AND($C$4=$A11,AW$3&lt;&gt;""),AW$3,'EBA2017'!AW11)</f>
        <v>5</v>
      </c>
      <c r="AX11" s="4">
        <f>IF(AND($C$4=$A11,AX$3&lt;&gt;""),AX$3,'EBA2017'!AX11)</f>
        <v>40</v>
      </c>
      <c r="AY11" s="4">
        <f>IF(AND($C$4=$A11,AY$3&lt;&gt;""),AY$3,'EBA2017'!AY11)</f>
        <v>19.718567517587747</v>
      </c>
      <c r="AZ11" s="4">
        <f>IF(AND($C$4=$A11,AZ$3&lt;&gt;""),AZ$3,'EBA2017'!AZ11)</f>
        <v>5</v>
      </c>
      <c r="BA11" s="12" t="str">
        <f>IF(AND($C$4=$A11,BA$3&lt;&gt;""),BA$3,'EBA2017'!BA11)</f>
        <v>No practice</v>
      </c>
      <c r="BB11" s="4" t="str">
        <f>IF(AND($C$4=$A11,BB$3&lt;&gt;""),BB$3,'EBA2017'!BB11)</f>
        <v>No practice</v>
      </c>
      <c r="BC11" s="30">
        <f t="shared" si="8"/>
        <v>38</v>
      </c>
      <c r="BD11" s="31">
        <f t="shared" si="9"/>
        <v>43.146551724137936</v>
      </c>
      <c r="BE11" s="4">
        <f>IF(AND($C$4=$A11,BE$3&lt;&gt;""),BE$3,'EBA2017'!BE11)</f>
        <v>18.5</v>
      </c>
      <c r="BF11" s="4">
        <f>IF(AND($C$4=$A11,BF$3&lt;&gt;""),BF$3,'EBA2017'!BF11)</f>
        <v>4.5</v>
      </c>
      <c r="BG11" s="30">
        <f t="shared" si="10"/>
        <v>31</v>
      </c>
      <c r="BH11" s="31">
        <f t="shared" si="11"/>
        <v>55.555555555555557</v>
      </c>
      <c r="BI11" s="4">
        <f>IF(AND($C$4=$A11,BI$3&lt;&gt;""),BI$3,'EBA2017'!BI11)</f>
        <v>5</v>
      </c>
    </row>
    <row r="12" spans="1:61" x14ac:dyDescent="0.2">
      <c r="A12" s="2" t="s">
        <v>19</v>
      </c>
      <c r="B12" s="3" t="s">
        <v>20</v>
      </c>
      <c r="C12" s="3" t="s">
        <v>21</v>
      </c>
      <c r="D12" s="3" t="s">
        <v>22</v>
      </c>
      <c r="E12" s="3" t="s">
        <v>9</v>
      </c>
      <c r="F12" s="3" t="s">
        <v>162</v>
      </c>
      <c r="G12" s="3" t="s">
        <v>158</v>
      </c>
      <c r="H12" s="30">
        <f t="shared" si="1"/>
        <v>25</v>
      </c>
      <c r="I12" s="31">
        <f>VLOOKUP($A12,'Seed Base Calc'!$A:$S,19,FALSE)</f>
        <v>64.412952487516904</v>
      </c>
      <c r="J12" s="4">
        <f>IF(AND($C$4=$A12,J$3&lt;&gt;""),J$3,'EBA2017'!J12)</f>
        <v>7</v>
      </c>
      <c r="K12" s="4">
        <f>IF(AND($C$4=$A12,K$3&lt;&gt;""),K$3,'EBA2017'!K12)</f>
        <v>5</v>
      </c>
      <c r="L12" s="4">
        <f>IF(AND($C$4=$A12,L$3&lt;&gt;""),L$3,'EBA2017'!L12)</f>
        <v>7</v>
      </c>
      <c r="M12" s="12">
        <f>IF(AND($C$4=$A12,M$3&lt;&gt;""),M$3,'EBA2017'!M12)</f>
        <v>517</v>
      </c>
      <c r="N12" s="4">
        <f>IF(AND($C$4=$A12,N$3&lt;&gt;""),N$3,'EBA2017'!N12)</f>
        <v>24.452794304084573</v>
      </c>
      <c r="O12" s="30">
        <f t="shared" si="2"/>
        <v>45</v>
      </c>
      <c r="P12" s="31">
        <f>VLOOKUP($A12,'Fert Base Calc'!$A:$S,19,FALSE)</f>
        <v>39.285714285714285</v>
      </c>
      <c r="Q12" s="4">
        <f>IF(AND($C$4=$A12,Q$3&lt;&gt;""),Q$3,'EBA2017'!Q12)</f>
        <v>1</v>
      </c>
      <c r="R12" s="4">
        <f>IF(AND($C$4=$A12,R$3&lt;&gt;""),R$3,'EBA2017'!R12)</f>
        <v>7</v>
      </c>
      <c r="S12" s="4">
        <f>IF(AND($C$4=$A12,S$3&lt;&gt;""),S$3,'EBA2017'!S12)</f>
        <v>3</v>
      </c>
      <c r="T12" s="12" t="str">
        <f>IF(AND($C$4=$A12,T$3&lt;&gt;""),T$3,'EBA2017'!T12)</f>
        <v>N/A</v>
      </c>
      <c r="U12" s="4" t="str">
        <f>IF(AND($C$4=$A12,U$3&lt;&gt;""),U$3,'EBA2017'!U12)</f>
        <v>N/A</v>
      </c>
      <c r="V12" s="30">
        <f t="shared" si="3"/>
        <v>52</v>
      </c>
      <c r="W12" s="31">
        <f>VLOOKUP($A12,'Mech Base Calc'!$A:$Z,24,FALSE)</f>
        <v>25.833333333333336</v>
      </c>
      <c r="X12" s="4">
        <f>IF(AND($C$4=$A12,X$3&lt;&gt;""),X$3,'EBA2017'!X12)</f>
        <v>0.5</v>
      </c>
      <c r="Y12" s="4">
        <f>IF(AND($C$4=$A12,Y$3&lt;&gt;""),Y$3,'EBA2017'!Y12)</f>
        <v>2.3333333333333335</v>
      </c>
      <c r="Z12" s="4">
        <f>IF(AND($C$4=$A12,Z$3&lt;&gt;""),Z$3,'EBA2017'!Z12)</f>
        <v>4.5</v>
      </c>
      <c r="AA12" s="12" t="str">
        <f>IF(AND($C$4=$A12,AA$3&lt;&gt;""),AA$3,'EBA2017'!AA12)</f>
        <v>N/A</v>
      </c>
      <c r="AB12" s="4" t="str">
        <f>IF(AND($C$4=$A12,AB$3&lt;&gt;""),AB$3,'EBA2017'!AB12)</f>
        <v>N/A</v>
      </c>
      <c r="AC12" s="12" t="str">
        <f>IF(AND($C$4=$A12,AC$3&lt;&gt;""),AC$3,'EBA2017'!AC12)</f>
        <v>No practice</v>
      </c>
      <c r="AD12" s="4" t="str">
        <f>IF(AND($C$4=$A12,AD$3&lt;&gt;""),AD$3,'EBA2017'!AD12)</f>
        <v>No practice</v>
      </c>
      <c r="AE12" s="30">
        <f t="shared" si="4"/>
        <v>13</v>
      </c>
      <c r="AF12" s="31">
        <f>100*AVERAGE(IF(VLOOKUP(A12,'Data Gaps'!A:O,15,FALSE)="X",Calculator!AH12/4,AVERAGE(AG12/5,AH12/4)),AVERAGE(AI12/5,AJ12/8),IF(VLOOKUP(A12,'Data Gaps'!A:O,15,FALSE)="X",Calculator!AL12/7,AVERAGE(AK12/7,AL12/7)))</f>
        <v>67.480158730158735</v>
      </c>
      <c r="AG12" s="4">
        <f>IF(AND($C$4=$A12,AG$3&lt;&gt;""),AG$3,'EBA2017'!AG12)</f>
        <v>0</v>
      </c>
      <c r="AH12" s="4">
        <f>IF(AND($C$4=$A12,AH$3&lt;&gt;""),AH$3,'EBA2017'!AH12)</f>
        <v>3.6666666666666661</v>
      </c>
      <c r="AI12" s="4">
        <f>IF(AND($C$4=$A12,AI$3&lt;&gt;""),AI$3,'EBA2017'!AI12)</f>
        <v>4.5</v>
      </c>
      <c r="AJ12" s="4">
        <f>IF(AND($C$4=$A12,AJ$3&lt;&gt;""),AJ$3,'EBA2017'!AJ12)</f>
        <v>3</v>
      </c>
      <c r="AK12" s="4">
        <f>IF(AND($C$4=$A12,AK$3&lt;&gt;""),AK$3,'EBA2017'!AK12)</f>
        <v>6</v>
      </c>
      <c r="AL12" s="4">
        <f>IF(AND($C$4=$A12,AL$3&lt;&gt;""),AL$3,'EBA2017'!AL12)</f>
        <v>7</v>
      </c>
      <c r="AM12" s="30">
        <f t="shared" si="5"/>
        <v>22</v>
      </c>
      <c r="AN12" s="31">
        <f>VLOOKUP($A12,'Mark Base Calc'!$A:$Z,21,FALSE)</f>
        <v>65.507462885729979</v>
      </c>
      <c r="AO12" s="4">
        <f>IF(AND($C$4=$A12,AO$3&lt;&gt;""),AO$3,'EBA2017'!AO12)</f>
        <v>10.75</v>
      </c>
      <c r="AP12" s="4">
        <f>IF(AND($C$4=$A12,AP$3&lt;&gt;""),AP$3,'EBA2017'!AP12)</f>
        <v>4</v>
      </c>
      <c r="AQ12" s="4">
        <f>IF(AND($C$4=$A12,AQ$3&lt;&gt;""),AQ$3,'EBA2017'!AQ12)</f>
        <v>5</v>
      </c>
      <c r="AR12" s="12">
        <f>IF(AND($C$4=$A12,AR$3&lt;&gt;""),AR$3,'EBA2017'!AR12)</f>
        <v>1</v>
      </c>
      <c r="AS12" s="12">
        <f>IF(AND($C$4=$A12,AS$3&lt;&gt;""),AS$3,'EBA2017'!AS12)</f>
        <v>2</v>
      </c>
      <c r="AT12" s="4">
        <f>IF(AND($C$4=$A12,AT$3&lt;&gt;""),AT$3,'EBA2017'!AT12)</f>
        <v>1.8574718750218087</v>
      </c>
      <c r="AU12" s="30">
        <f t="shared" si="6"/>
        <v>15</v>
      </c>
      <c r="AV12" s="31">
        <f t="shared" si="7"/>
        <v>70.312894971736796</v>
      </c>
      <c r="AW12" s="4">
        <f>IF(AND($C$4=$A12,AW$3&lt;&gt;""),AW$3,'EBA2017'!AW12)</f>
        <v>4.5000000000000009</v>
      </c>
      <c r="AX12" s="4">
        <f>IF(AND($C$4=$A12,AX$3&lt;&gt;""),AX$3,'EBA2017'!AX12)</f>
        <v>4.5</v>
      </c>
      <c r="AY12" s="4">
        <f>IF(AND($C$4=$A12,AY$3&lt;&gt;""),AY$3,'EBA2017'!AY12)</f>
        <v>0.16458611550826152</v>
      </c>
      <c r="AZ12" s="4">
        <f>IF(AND($C$4=$A12,AZ$3&lt;&gt;""),AZ$3,'EBA2017'!AZ12)</f>
        <v>5</v>
      </c>
      <c r="BA12" s="12">
        <f>IF(AND($C$4=$A12,BA$3&lt;&gt;""),BA$3,'EBA2017'!BA12)</f>
        <v>10</v>
      </c>
      <c r="BB12" s="4">
        <f>IF(AND($C$4=$A12,BB$3&lt;&gt;""),BB$3,'EBA2017'!BB12)</f>
        <v>6.1688311688311686</v>
      </c>
      <c r="BC12" s="30">
        <f t="shared" si="8"/>
        <v>43</v>
      </c>
      <c r="BD12" s="31">
        <f t="shared" si="9"/>
        <v>35.517241379310349</v>
      </c>
      <c r="BE12" s="4">
        <f>IF(AND($C$4=$A12,BE$3&lt;&gt;""),BE$3,'EBA2017'!BE12)</f>
        <v>9</v>
      </c>
      <c r="BF12" s="4">
        <f>IF(AND($C$4=$A12,BF$3&lt;&gt;""),BF$3,'EBA2017'!BF12)</f>
        <v>8</v>
      </c>
      <c r="BG12" s="30">
        <f t="shared" si="10"/>
        <v>30</v>
      </c>
      <c r="BH12" s="31">
        <f t="shared" si="11"/>
        <v>58.333333333333336</v>
      </c>
      <c r="BI12" s="4">
        <f>IF(AND($C$4=$A12,BI$3&lt;&gt;""),BI$3,'EBA2017'!BI12)</f>
        <v>5.25</v>
      </c>
    </row>
    <row r="13" spans="1:61" x14ac:dyDescent="0.2">
      <c r="A13" s="2" t="s">
        <v>23</v>
      </c>
      <c r="B13" s="3" t="s">
        <v>24</v>
      </c>
      <c r="C13" s="3" t="s">
        <v>7</v>
      </c>
      <c r="D13" s="3" t="s">
        <v>8</v>
      </c>
      <c r="E13" s="3" t="s">
        <v>25</v>
      </c>
      <c r="F13" s="3" t="s">
        <v>161</v>
      </c>
      <c r="G13" s="3" t="s">
        <v>163</v>
      </c>
      <c r="H13" s="30">
        <f t="shared" si="1"/>
        <v>56</v>
      </c>
      <c r="I13" s="31">
        <f>VLOOKUP($A13,'Seed Base Calc'!$A:$S,19,FALSE)</f>
        <v>32.083333333333329</v>
      </c>
      <c r="J13" s="4">
        <f>IF(AND($C$4=$A13,J$3&lt;&gt;""),J$3,'EBA2017'!J13)</f>
        <v>7</v>
      </c>
      <c r="K13" s="4">
        <f>IF(AND($C$4=$A13,K$3&lt;&gt;""),K$3,'EBA2017'!K13)</f>
        <v>2</v>
      </c>
      <c r="L13" s="4">
        <f>IF(AND($C$4=$A13,L$3&lt;&gt;""),L$3,'EBA2017'!L13)</f>
        <v>4</v>
      </c>
      <c r="M13" s="12" t="str">
        <f>IF(AND($C$4=$A13,M$3&lt;&gt;""),M$3,'EBA2017'!M13)</f>
        <v>No practice</v>
      </c>
      <c r="N13" s="4" t="str">
        <f>IF(AND($C$4=$A13,N$3&lt;&gt;""),N$3,'EBA2017'!N13)</f>
        <v>No practice</v>
      </c>
      <c r="O13" s="30">
        <f t="shared" si="2"/>
        <v>1</v>
      </c>
      <c r="P13" s="31">
        <f>VLOOKUP($A13,'Fert Base Calc'!$A:$S,19,FALSE)</f>
        <v>96.156543400517208</v>
      </c>
      <c r="Q13" s="4">
        <f>IF(AND($C$4=$A13,Q$3&lt;&gt;""),Q$3,'EBA2017'!Q13)</f>
        <v>6</v>
      </c>
      <c r="R13" s="4">
        <f>IF(AND($C$4=$A13,R$3&lt;&gt;""),R$3,'EBA2017'!R13)</f>
        <v>7</v>
      </c>
      <c r="S13" s="4">
        <f>IF(AND($C$4=$A13,S$3&lt;&gt;""),S$3,'EBA2017'!S13)</f>
        <v>7</v>
      </c>
      <c r="T13" s="12">
        <f>IF(AND($C$4=$A13,T$3&lt;&gt;""),T$3,'EBA2017'!T13)</f>
        <v>31</v>
      </c>
      <c r="U13" s="4">
        <f>IF(AND($C$4=$A13,U$3&lt;&gt;""),U$3,'EBA2017'!U13)</f>
        <v>0.467995248171379</v>
      </c>
      <c r="V13" s="30">
        <f t="shared" si="3"/>
        <v>34</v>
      </c>
      <c r="W13" s="31">
        <f>VLOOKUP($A13,'Mech Base Calc'!$A:$Z,24,FALSE)</f>
        <v>51.414610240167022</v>
      </c>
      <c r="X13" s="4">
        <f>IF(AND($C$4=$A13,X$3&lt;&gt;""),X$3,'EBA2017'!X13)</f>
        <v>1</v>
      </c>
      <c r="Y13" s="4">
        <f>IF(AND($C$4=$A13,Y$3&lt;&gt;""),Y$3,'EBA2017'!Y13)</f>
        <v>5.3333333333333321</v>
      </c>
      <c r="Z13" s="4">
        <f>IF(AND($C$4=$A13,Z$3&lt;&gt;""),Z$3,'EBA2017'!Z13)</f>
        <v>5</v>
      </c>
      <c r="AA13" s="12" t="str">
        <f>IF(AND($C$4=$A13,AA$3&lt;&gt;""),AA$3,'EBA2017'!AA13)</f>
        <v>N/A</v>
      </c>
      <c r="AB13" s="4" t="str">
        <f>IF(AND($C$4=$A13,AB$3&lt;&gt;""),AB$3,'EBA2017'!AB13)</f>
        <v>N/A</v>
      </c>
      <c r="AC13" s="12">
        <f>IF(AND($C$4=$A13,AC$3&lt;&gt;""),AC$3,'EBA2017'!AC13)</f>
        <v>7</v>
      </c>
      <c r="AD13" s="4">
        <f>IF(AND($C$4=$A13,AD$3&lt;&gt;""),AD$3,'EBA2017'!AD13)</f>
        <v>13.371292804896543</v>
      </c>
      <c r="AE13" s="30">
        <f t="shared" si="4"/>
        <v>60</v>
      </c>
      <c r="AF13" s="31">
        <f>100*AVERAGE(IF(VLOOKUP(A13,'Data Gaps'!A:O,15,FALSE)="X",Calculator!AH13/4,AVERAGE(AG13/5,AH13/4)),AVERAGE(AI13/5,AJ13/8),IF(VLOOKUP(A13,'Data Gaps'!A:O,15,FALSE)="X",Calculator!AL13/7,AVERAGE(AK13/7,AL13/7)))</f>
        <v>23.333333333333332</v>
      </c>
      <c r="AG13" s="4">
        <f>IF(AND($C$4=$A13,AG$3&lt;&gt;""),AG$3,'EBA2017'!AG13)</f>
        <v>0</v>
      </c>
      <c r="AH13" s="4">
        <f>IF(AND($C$4=$A13,AH$3&lt;&gt;""),AH$3,'EBA2017'!AH13)</f>
        <v>0</v>
      </c>
      <c r="AI13" s="4">
        <f>IF(AND($C$4=$A13,AI$3&lt;&gt;""),AI$3,'EBA2017'!AI13)</f>
        <v>3.25</v>
      </c>
      <c r="AJ13" s="4">
        <f>IF(AND($C$4=$A13,AJ$3&lt;&gt;""),AJ$3,'EBA2017'!AJ13)</f>
        <v>6</v>
      </c>
      <c r="AK13" s="4">
        <f>IF(AND($C$4=$A13,AK$3&lt;&gt;""),AK$3,'EBA2017'!AK13)</f>
        <v>0</v>
      </c>
      <c r="AL13" s="4">
        <f>IF(AND($C$4=$A13,AL$3&lt;&gt;""),AL$3,'EBA2017'!AL13)</f>
        <v>0</v>
      </c>
      <c r="AM13" s="30">
        <f t="shared" si="5"/>
        <v>11</v>
      </c>
      <c r="AN13" s="31">
        <f>VLOOKUP($A13,'Mark Base Calc'!$A:$Z,21,FALSE)</f>
        <v>74.885213428051827</v>
      </c>
      <c r="AO13" s="4">
        <f>IF(AND($C$4=$A13,AO$3&lt;&gt;""),AO$3,'EBA2017'!AO13)</f>
        <v>8.5</v>
      </c>
      <c r="AP13" s="4">
        <f>IF(AND($C$4=$A13,AP$3&lt;&gt;""),AP$3,'EBA2017'!AP13)</f>
        <v>6</v>
      </c>
      <c r="AQ13" s="4">
        <f>IF(AND($C$4=$A13,AQ$3&lt;&gt;""),AQ$3,'EBA2017'!AQ13)</f>
        <v>6.5</v>
      </c>
      <c r="AR13" s="12">
        <f>IF(AND($C$4=$A13,AR$3&lt;&gt;""),AR$3,'EBA2017'!AR13)</f>
        <v>1</v>
      </c>
      <c r="AS13" s="12">
        <f>IF(AND($C$4=$A13,AS$3&lt;&gt;""),AS$3,'EBA2017'!AS13)</f>
        <v>1</v>
      </c>
      <c r="AT13" s="4">
        <f>IF(AND($C$4=$A13,AT$3&lt;&gt;""),AT$3,'EBA2017'!AT13)</f>
        <v>0.26742585609793085</v>
      </c>
      <c r="AU13" s="30">
        <f t="shared" si="6"/>
        <v>32</v>
      </c>
      <c r="AV13" s="31">
        <f t="shared" si="7"/>
        <v>57.440231963068825</v>
      </c>
      <c r="AW13" s="4">
        <f>IF(AND($C$4=$A13,AW$3&lt;&gt;""),AW$3,'EBA2017'!AW13)</f>
        <v>6.5</v>
      </c>
      <c r="AX13" s="4">
        <f>IF(AND($C$4=$A13,AX$3&lt;&gt;""),AX$3,'EBA2017'!AX13)</f>
        <v>90</v>
      </c>
      <c r="AY13" s="4">
        <f>IF(AND($C$4=$A13,AY$3&lt;&gt;""),AY$3,'EBA2017'!AY13)</f>
        <v>6.0170817622034436</v>
      </c>
      <c r="AZ13" s="4">
        <f>IF(AND($C$4=$A13,AZ$3&lt;&gt;""),AZ$3,'EBA2017'!AZ13)</f>
        <v>5.9999999999999991</v>
      </c>
      <c r="BA13" s="12">
        <f>IF(AND($C$4=$A13,BA$3&lt;&gt;""),BA$3,'EBA2017'!BA13)</f>
        <v>37.5</v>
      </c>
      <c r="BB13" s="4">
        <f>IF(AND($C$4=$A13,BB$3&lt;&gt;""),BB$3,'EBA2017'!BB13)</f>
        <v>6.7525028664727538</v>
      </c>
      <c r="BC13" s="30">
        <f t="shared" si="8"/>
        <v>6</v>
      </c>
      <c r="BD13" s="31">
        <f t="shared" si="9"/>
        <v>81.465517241379317</v>
      </c>
      <c r="BE13" s="4">
        <f>IF(AND($C$4=$A13,BE$3&lt;&gt;""),BE$3,'EBA2017'!BE13)</f>
        <v>25.5</v>
      </c>
      <c r="BF13" s="4">
        <f>IF(AND($C$4=$A13,BF$3&lt;&gt;""),BF$3,'EBA2017'!BF13)</f>
        <v>15</v>
      </c>
      <c r="BG13" s="30">
        <f t="shared" si="10"/>
        <v>31</v>
      </c>
      <c r="BH13" s="31">
        <f t="shared" si="11"/>
        <v>55.555555555555557</v>
      </c>
      <c r="BI13" s="4">
        <f>IF(AND($C$4=$A13,BI$3&lt;&gt;""),BI$3,'EBA2017'!BI13)</f>
        <v>5</v>
      </c>
    </row>
    <row r="14" spans="1:61" x14ac:dyDescent="0.2">
      <c r="A14" s="2" t="s">
        <v>26</v>
      </c>
      <c r="B14" s="3" t="s">
        <v>27</v>
      </c>
      <c r="C14" s="3" t="s">
        <v>16</v>
      </c>
      <c r="D14" s="3" t="s">
        <v>17</v>
      </c>
      <c r="E14" s="3" t="s">
        <v>18</v>
      </c>
      <c r="F14" s="3" t="s">
        <v>159</v>
      </c>
      <c r="G14" s="3" t="s">
        <v>158</v>
      </c>
      <c r="H14" s="30">
        <f t="shared" si="1"/>
        <v>57</v>
      </c>
      <c r="I14" s="31">
        <f>VLOOKUP($A14,'Seed Base Calc'!$A:$S,19,FALSE)</f>
        <v>28.958333333333329</v>
      </c>
      <c r="J14" s="4">
        <f>IF(AND($C$4=$A14,J$3&lt;&gt;""),J$3,'EBA2017'!J14)</f>
        <v>2</v>
      </c>
      <c r="K14" s="4">
        <f>IF(AND($C$4=$A14,K$3&lt;&gt;""),K$3,'EBA2017'!K14)</f>
        <v>4</v>
      </c>
      <c r="L14" s="4">
        <f>IF(AND($C$4=$A14,L$3&lt;&gt;""),L$3,'EBA2017'!L14)</f>
        <v>5.5</v>
      </c>
      <c r="M14" s="12" t="str">
        <f>IF(AND($C$4=$A14,M$3&lt;&gt;""),M$3,'EBA2017'!M14)</f>
        <v>No practice</v>
      </c>
      <c r="N14" s="4" t="str">
        <f>IF(AND($C$4=$A14,N$3&lt;&gt;""),N$3,'EBA2017'!N14)</f>
        <v>No practice</v>
      </c>
      <c r="O14" s="30">
        <f t="shared" si="2"/>
        <v>56</v>
      </c>
      <c r="P14" s="31">
        <f>VLOOKUP($A14,'Fert Base Calc'!$A:$S,19,FALSE)</f>
        <v>23.214285714285715</v>
      </c>
      <c r="Q14" s="4">
        <f>IF(AND($C$4=$A14,Q$3&lt;&gt;""),Q$3,'EBA2017'!Q14)</f>
        <v>0</v>
      </c>
      <c r="R14" s="4">
        <f>IF(AND($C$4=$A14,R$3&lt;&gt;""),R$3,'EBA2017'!R14)</f>
        <v>3.5</v>
      </c>
      <c r="S14" s="4">
        <f>IF(AND($C$4=$A14,S$3&lt;&gt;""),S$3,'EBA2017'!S14)</f>
        <v>3</v>
      </c>
      <c r="T14" s="12" t="str">
        <f>IF(AND($C$4=$A14,T$3&lt;&gt;""),T$3,'EBA2017'!T14)</f>
        <v>N/A</v>
      </c>
      <c r="U14" s="4" t="str">
        <f>IF(AND($C$4=$A14,U$3&lt;&gt;""),U$3,'EBA2017'!U14)</f>
        <v>N/A</v>
      </c>
      <c r="V14" s="30">
        <f t="shared" si="3"/>
        <v>32</v>
      </c>
      <c r="W14" s="31">
        <f>VLOOKUP($A14,'Mech Base Calc'!$A:$Z,24,FALSE)</f>
        <v>52.629141955497758</v>
      </c>
      <c r="X14" s="4">
        <f>IF(AND($C$4=$A14,X$3&lt;&gt;""),X$3,'EBA2017'!X14)</f>
        <v>2.5</v>
      </c>
      <c r="Y14" s="4">
        <f>IF(AND($C$4=$A14,Y$3&lt;&gt;""),Y$3,'EBA2017'!Y14)</f>
        <v>3.3333333333333339</v>
      </c>
      <c r="Z14" s="4">
        <f>IF(AND($C$4=$A14,Z$3&lt;&gt;""),Z$3,'EBA2017'!Z14)</f>
        <v>1.5</v>
      </c>
      <c r="AA14" s="12">
        <f>IF(AND($C$4=$A14,AA$3&lt;&gt;""),AA$3,'EBA2017'!AA14)</f>
        <v>4</v>
      </c>
      <c r="AB14" s="4">
        <f>IF(AND($C$4=$A14,AB$3&lt;&gt;""),AB$3,'EBA2017'!AB14)</f>
        <v>11.102716600915983</v>
      </c>
      <c r="AC14" s="12">
        <f>IF(AND($C$4=$A14,AC$3&lt;&gt;""),AC$3,'EBA2017'!AC14)</f>
        <v>30</v>
      </c>
      <c r="AD14" s="4">
        <f>IF(AND($C$4=$A14,AD$3&lt;&gt;""),AD$3,'EBA2017'!AD14)</f>
        <v>5.6216286586916366</v>
      </c>
      <c r="AE14" s="30">
        <f t="shared" si="4"/>
        <v>41</v>
      </c>
      <c r="AF14" s="31">
        <f>100*AVERAGE(IF(VLOOKUP(A14,'Data Gaps'!A:O,15,FALSE)="X",Calculator!AH14/4,AVERAGE(AG14/5,AH14/4)),AVERAGE(AI14/5,AJ14/8),IF(VLOOKUP(A14,'Data Gaps'!A:O,15,FALSE)="X",Calculator!AL14/7,AVERAGE(AK14/7,AL14/7)))</f>
        <v>43.353174603174608</v>
      </c>
      <c r="AG14" s="4">
        <f>IF(AND($C$4=$A14,AG$3&lt;&gt;""),AG$3,'EBA2017'!AG14)</f>
        <v>0</v>
      </c>
      <c r="AH14" s="4">
        <f>IF(AND($C$4=$A14,AH$3&lt;&gt;""),AH$3,'EBA2017'!AH14)</f>
        <v>3.8333333333333339</v>
      </c>
      <c r="AI14" s="4">
        <f>IF(AND($C$4=$A14,AI$3&lt;&gt;""),AI$3,'EBA2017'!AI14)</f>
        <v>0</v>
      </c>
      <c r="AJ14" s="4">
        <f>IF(AND($C$4=$A14,AJ$3&lt;&gt;""),AJ$3,'EBA2017'!AJ14)</f>
        <v>4</v>
      </c>
      <c r="AK14" s="4">
        <f>IF(AND($C$4=$A14,AK$3&lt;&gt;""),AK$3,'EBA2017'!AK14)</f>
        <v>4</v>
      </c>
      <c r="AL14" s="4">
        <f>IF(AND($C$4=$A14,AL$3&lt;&gt;""),AL$3,'EBA2017'!AL14)</f>
        <v>4</v>
      </c>
      <c r="AM14" s="30">
        <f t="shared" si="5"/>
        <v>37</v>
      </c>
      <c r="AN14" s="31">
        <f>VLOOKUP($A14,'Mark Base Calc'!$A:$Z,21,FALSE)</f>
        <v>54.628521569404676</v>
      </c>
      <c r="AO14" s="4">
        <f>IF(AND($C$4=$A14,AO$3&lt;&gt;""),AO$3,'EBA2017'!AO14)</f>
        <v>9.75</v>
      </c>
      <c r="AP14" s="4">
        <f>IF(AND($C$4=$A14,AP$3&lt;&gt;""),AP$3,'EBA2017'!AP14)</f>
        <v>2</v>
      </c>
      <c r="AQ14" s="4">
        <f>IF(AND($C$4=$A14,AQ$3&lt;&gt;""),AQ$3,'EBA2017'!AQ14)</f>
        <v>5</v>
      </c>
      <c r="AR14" s="12">
        <f>IF(AND($C$4=$A14,AR$3&lt;&gt;""),AR$3,'EBA2017'!AR14)</f>
        <v>2</v>
      </c>
      <c r="AS14" s="12">
        <f>IF(AND($C$4=$A14,AS$3&lt;&gt;""),AS$3,'EBA2017'!AS14)</f>
        <v>2</v>
      </c>
      <c r="AT14" s="4">
        <f>IF(AND($C$4=$A14,AT$3&lt;&gt;""),AT$3,'EBA2017'!AT14)</f>
        <v>2.2486514634766546</v>
      </c>
      <c r="AU14" s="30">
        <f t="shared" si="6"/>
        <v>12</v>
      </c>
      <c r="AV14" s="31">
        <f t="shared" si="7"/>
        <v>72.234753177835714</v>
      </c>
      <c r="AW14" s="4">
        <f>IF(AND($C$4=$A14,AW$3&lt;&gt;""),AW$3,'EBA2017'!AW14)</f>
        <v>4.5000000000000009</v>
      </c>
      <c r="AX14" s="4">
        <f>IF(AND($C$4=$A14,AX$3&lt;&gt;""),AX$3,'EBA2017'!AX14)</f>
        <v>1</v>
      </c>
      <c r="AY14" s="4">
        <f>IF(AND($C$4=$A14,AY$3&lt;&gt;""),AY$3,'EBA2017'!AY14)</f>
        <v>3.0356794756934842</v>
      </c>
      <c r="AZ14" s="4">
        <f>IF(AND($C$4=$A14,AZ$3&lt;&gt;""),AZ$3,'EBA2017'!AZ14)</f>
        <v>5</v>
      </c>
      <c r="BA14" s="12">
        <f>IF(AND($C$4=$A14,BA$3&lt;&gt;""),BA$3,'EBA2017'!BA14)</f>
        <v>1</v>
      </c>
      <c r="BB14" s="4">
        <f>IF(AND($C$4=$A14,BB$3&lt;&gt;""),BB$3,'EBA2017'!BB14)</f>
        <v>3.3167609086280656</v>
      </c>
      <c r="BC14" s="30">
        <f t="shared" si="8"/>
        <v>47</v>
      </c>
      <c r="BD14" s="31">
        <f t="shared" si="9"/>
        <v>31.163793103448278</v>
      </c>
      <c r="BE14" s="4">
        <f>IF(AND($C$4=$A14,BE$3&lt;&gt;""),BE$3,'EBA2017'!BE14)</f>
        <v>13</v>
      </c>
      <c r="BF14" s="4">
        <f>IF(AND($C$4=$A14,BF$3&lt;&gt;""),BF$3,'EBA2017'!BF14)</f>
        <v>3.5</v>
      </c>
      <c r="BG14" s="30">
        <f t="shared" si="10"/>
        <v>59</v>
      </c>
      <c r="BH14" s="31">
        <f t="shared" si="11"/>
        <v>27.777777777777779</v>
      </c>
      <c r="BI14" s="4">
        <f>IF(AND($C$4=$A14,BI$3&lt;&gt;""),BI$3,'EBA2017'!BI14)</f>
        <v>2.5</v>
      </c>
    </row>
    <row r="15" spans="1:61" x14ac:dyDescent="0.2">
      <c r="A15" s="2" t="s">
        <v>28</v>
      </c>
      <c r="B15" s="3" t="s">
        <v>29</v>
      </c>
      <c r="C15" s="3" t="s">
        <v>16</v>
      </c>
      <c r="D15" s="3" t="s">
        <v>17</v>
      </c>
      <c r="E15" s="3" t="s">
        <v>18</v>
      </c>
      <c r="F15" s="3" t="s">
        <v>160</v>
      </c>
      <c r="G15" s="3" t="s">
        <v>158</v>
      </c>
      <c r="H15" s="30">
        <f t="shared" si="1"/>
        <v>40</v>
      </c>
      <c r="I15" s="31">
        <f>VLOOKUP($A15,'Seed Base Calc'!$A:$S,19,FALSE)</f>
        <v>50.104166666666657</v>
      </c>
      <c r="J15" s="4">
        <f>IF(AND($C$4=$A15,J$3&lt;&gt;""),J$3,'EBA2017'!J15)</f>
        <v>9</v>
      </c>
      <c r="K15" s="4">
        <f>IF(AND($C$4=$A15,K$3&lt;&gt;""),K$3,'EBA2017'!K15)</f>
        <v>3.5</v>
      </c>
      <c r="L15" s="4">
        <f>IF(AND($C$4=$A15,L$3&lt;&gt;""),L$3,'EBA2017'!L15)</f>
        <v>8</v>
      </c>
      <c r="M15" s="12" t="str">
        <f>IF(AND($C$4=$A15,M$3&lt;&gt;""),M$3,'EBA2017'!M15)</f>
        <v>No practice</v>
      </c>
      <c r="N15" s="4" t="str">
        <f>IF(AND($C$4=$A15,N$3&lt;&gt;""),N$3,'EBA2017'!N15)</f>
        <v>No practice</v>
      </c>
      <c r="O15" s="30">
        <f t="shared" si="2"/>
        <v>42</v>
      </c>
      <c r="P15" s="31">
        <f>VLOOKUP($A15,'Fert Base Calc'!$A:$S,19,FALSE)</f>
        <v>41.666666666666664</v>
      </c>
      <c r="Q15" s="4">
        <f>IF(AND($C$4=$A15,Q$3&lt;&gt;""),Q$3,'EBA2017'!Q15)</f>
        <v>3</v>
      </c>
      <c r="R15" s="4">
        <f>IF(AND($C$4=$A15,R$3&lt;&gt;""),R$3,'EBA2017'!R15)</f>
        <v>3.9999999999999996</v>
      </c>
      <c r="S15" s="4">
        <f>IF(AND($C$4=$A15,S$3&lt;&gt;""),S$3,'EBA2017'!S15)</f>
        <v>4</v>
      </c>
      <c r="T15" s="12" t="str">
        <f>IF(AND($C$4=$A15,T$3&lt;&gt;""),T$3,'EBA2017'!T15)</f>
        <v>No practice</v>
      </c>
      <c r="U15" s="4" t="str">
        <f>IF(AND($C$4=$A15,U$3&lt;&gt;""),U$3,'EBA2017'!U15)</f>
        <v>No practice</v>
      </c>
      <c r="V15" s="30">
        <f t="shared" si="3"/>
        <v>50</v>
      </c>
      <c r="W15" s="31">
        <f>VLOOKUP($A15,'Mech Base Calc'!$A:$Z,24,FALSE)</f>
        <v>30</v>
      </c>
      <c r="X15" s="4">
        <f>IF(AND($C$4=$A15,X$3&lt;&gt;""),X$3,'EBA2017'!X15)</f>
        <v>2.5</v>
      </c>
      <c r="Y15" s="4">
        <f>IF(AND($C$4=$A15,Y$3&lt;&gt;""),Y$3,'EBA2017'!Y15)</f>
        <v>0</v>
      </c>
      <c r="Z15" s="4">
        <f>IF(AND($C$4=$A15,Z$3&lt;&gt;""),Z$3,'EBA2017'!Z15)</f>
        <v>5</v>
      </c>
      <c r="AA15" s="12" t="str">
        <f>IF(AND($C$4=$A15,AA$3&lt;&gt;""),AA$3,'EBA2017'!AA15)</f>
        <v>N/A</v>
      </c>
      <c r="AB15" s="4" t="str">
        <f>IF(AND($C$4=$A15,AB$3&lt;&gt;""),AB$3,'EBA2017'!AB15)</f>
        <v>N/A</v>
      </c>
      <c r="AC15" s="12" t="str">
        <f>IF(AND($C$4=$A15,AC$3&lt;&gt;""),AC$3,'EBA2017'!AC15)</f>
        <v>No practice</v>
      </c>
      <c r="AD15" s="4" t="str">
        <f>IF(AND($C$4=$A15,AD$3&lt;&gt;""),AD$3,'EBA2017'!AD15)</f>
        <v>No practice</v>
      </c>
      <c r="AE15" s="30">
        <f t="shared" si="4"/>
        <v>59</v>
      </c>
      <c r="AF15" s="31">
        <f>100*AVERAGE(IF(VLOOKUP(A15,'Data Gaps'!A:O,15,FALSE)="X",Calculator!AH15/4,AVERAGE(AG15/5,AH15/4)),AVERAGE(AI15/5,AJ15/8),IF(VLOOKUP(A15,'Data Gaps'!A:O,15,FALSE)="X",Calculator!AL15/7,AVERAGE(AK15/7,AL15/7)))</f>
        <v>23.511904761904759</v>
      </c>
      <c r="AG15" s="4">
        <f>IF(AND($C$4=$A15,AG$3&lt;&gt;""),AG$3,'EBA2017'!AG15)</f>
        <v>0</v>
      </c>
      <c r="AH15" s="4">
        <f>IF(AND($C$4=$A15,AH$3&lt;&gt;""),AH$3,'EBA2017'!AH15)</f>
        <v>0</v>
      </c>
      <c r="AI15" s="4">
        <f>IF(AND($C$4=$A15,AI$3&lt;&gt;""),AI$3,'EBA2017'!AI15)</f>
        <v>0</v>
      </c>
      <c r="AJ15" s="4">
        <f>IF(AND($C$4=$A15,AJ$3&lt;&gt;""),AJ$3,'EBA2017'!AJ15)</f>
        <v>1</v>
      </c>
      <c r="AK15" s="4">
        <f>IF(AND($C$4=$A15,AK$3&lt;&gt;""),AK$3,'EBA2017'!AK15)</f>
        <v>5</v>
      </c>
      <c r="AL15" s="4">
        <f>IF(AND($C$4=$A15,AL$3&lt;&gt;""),AL$3,'EBA2017'!AL15)</f>
        <v>4</v>
      </c>
      <c r="AM15" s="30">
        <f t="shared" si="5"/>
        <v>55</v>
      </c>
      <c r="AN15" s="31">
        <f>VLOOKUP($A15,'Mark Base Calc'!$A:$Z,21,FALSE)</f>
        <v>39.934699701619842</v>
      </c>
      <c r="AO15" s="4">
        <f>IF(AND($C$4=$A15,AO$3&lt;&gt;""),AO$3,'EBA2017'!AO15)</f>
        <v>7</v>
      </c>
      <c r="AP15" s="4">
        <f>IF(AND($C$4=$A15,AP$3&lt;&gt;""),AP$3,'EBA2017'!AP15)</f>
        <v>3</v>
      </c>
      <c r="AQ15" s="4">
        <f>IF(AND($C$4=$A15,AQ$3&lt;&gt;""),AQ$3,'EBA2017'!AQ15)</f>
        <v>3</v>
      </c>
      <c r="AR15" s="12">
        <f>IF(AND($C$4=$A15,AR$3&lt;&gt;""),AR$3,'EBA2017'!AR15)</f>
        <v>4</v>
      </c>
      <c r="AS15" s="12">
        <f>IF(AND($C$4=$A15,AS$3&lt;&gt;""),AS$3,'EBA2017'!AS15)</f>
        <v>4</v>
      </c>
      <c r="AT15" s="4">
        <f>IF(AND($C$4=$A15,AT$3&lt;&gt;""),AT$3,'EBA2017'!AT15)</f>
        <v>3.0611249214041747</v>
      </c>
      <c r="AU15" s="30">
        <f t="shared" si="6"/>
        <v>30</v>
      </c>
      <c r="AV15" s="31">
        <f t="shared" si="7"/>
        <v>59.166186803527523</v>
      </c>
      <c r="AW15" s="4">
        <f>IF(AND($C$4=$A15,AW$3&lt;&gt;""),AW$3,'EBA2017'!AW15)</f>
        <v>2.9999999999999996</v>
      </c>
      <c r="AX15" s="4">
        <f>IF(AND($C$4=$A15,AX$3&lt;&gt;""),AX$3,'EBA2017'!AX15)</f>
        <v>1</v>
      </c>
      <c r="AY15" s="4">
        <f>IF(AND($C$4=$A15,AY$3&lt;&gt;""),AY$3,'EBA2017'!AY15)</f>
        <v>4.6226591987378054</v>
      </c>
      <c r="AZ15" s="4">
        <f>IF(AND($C$4=$A15,AZ$3&lt;&gt;""),AZ$3,'EBA2017'!AZ15)</f>
        <v>5.9999999999999991</v>
      </c>
      <c r="BA15" s="12">
        <f>IF(AND($C$4=$A15,BA$3&lt;&gt;""),BA$3,'EBA2017'!BA15)</f>
        <v>1</v>
      </c>
      <c r="BB15" s="4">
        <f>IF(AND($C$4=$A15,BB$3&lt;&gt;""),BB$3,'EBA2017'!BB15)</f>
        <v>76.923076923076934</v>
      </c>
      <c r="BC15" s="30">
        <f t="shared" si="8"/>
        <v>33</v>
      </c>
      <c r="BD15" s="31">
        <f t="shared" si="9"/>
        <v>48.40517241379311</v>
      </c>
      <c r="BE15" s="4">
        <f>IF(AND($C$4=$A15,BE$3&lt;&gt;""),BE$3,'EBA2017'!BE15)</f>
        <v>8.5</v>
      </c>
      <c r="BF15" s="4">
        <f>IF(AND($C$4=$A15,BF$3&lt;&gt;""),BF$3,'EBA2017'!BF15)</f>
        <v>13.5</v>
      </c>
      <c r="BG15" s="30">
        <f t="shared" si="10"/>
        <v>52</v>
      </c>
      <c r="BH15" s="31">
        <f t="shared" si="11"/>
        <v>38.888888888888893</v>
      </c>
      <c r="BI15" s="4">
        <f>IF(AND($C$4=$A15,BI$3&lt;&gt;""),BI$3,'EBA2017'!BI15)</f>
        <v>3.5000000000000004</v>
      </c>
    </row>
    <row r="16" spans="1:61" x14ac:dyDescent="0.2">
      <c r="A16" s="2" t="s">
        <v>30</v>
      </c>
      <c r="B16" s="3" t="s">
        <v>31</v>
      </c>
      <c r="C16" s="3" t="s">
        <v>32</v>
      </c>
      <c r="D16" s="3" t="s">
        <v>33</v>
      </c>
      <c r="E16" s="3" t="s">
        <v>9</v>
      </c>
      <c r="F16" s="3" t="s">
        <v>162</v>
      </c>
      <c r="G16" s="3" t="s">
        <v>158</v>
      </c>
      <c r="H16" s="30">
        <f t="shared" si="1"/>
        <v>38</v>
      </c>
      <c r="I16" s="31">
        <f>VLOOKUP($A16,'Seed Base Calc'!$A:$S,19,FALSE)</f>
        <v>51.798351314274527</v>
      </c>
      <c r="J16" s="4">
        <f>IF(AND($C$4=$A16,J$3&lt;&gt;""),J$3,'EBA2017'!J16)</f>
        <v>8</v>
      </c>
      <c r="K16" s="4">
        <f>IF(AND($C$4=$A16,K$3&lt;&gt;""),K$3,'EBA2017'!K16)</f>
        <v>2</v>
      </c>
      <c r="L16" s="4">
        <f>IF(AND($C$4=$A16,L$3&lt;&gt;""),L$3,'EBA2017'!L16)</f>
        <v>3</v>
      </c>
      <c r="M16" s="12">
        <f>IF(AND($C$4=$A16,M$3&lt;&gt;""),M$3,'EBA2017'!M16)</f>
        <v>407</v>
      </c>
      <c r="N16" s="4">
        <f>IF(AND($C$4=$A16,N$3&lt;&gt;""),N$3,'EBA2017'!N16)</f>
        <v>17.251872921867157</v>
      </c>
      <c r="O16" s="30">
        <f t="shared" si="2"/>
        <v>25</v>
      </c>
      <c r="P16" s="31">
        <f>VLOOKUP($A16,'Fert Base Calc'!$A:$S,19,FALSE)</f>
        <v>65.823491198162401</v>
      </c>
      <c r="Q16" s="4">
        <f>IF(AND($C$4=$A16,Q$3&lt;&gt;""),Q$3,'EBA2017'!Q16)</f>
        <v>3.4</v>
      </c>
      <c r="R16" s="4">
        <f>IF(AND($C$4=$A16,R$3&lt;&gt;""),R$3,'EBA2017'!R16)</f>
        <v>5</v>
      </c>
      <c r="S16" s="4">
        <f>IF(AND($C$4=$A16,S$3&lt;&gt;""),S$3,'EBA2017'!S16)</f>
        <v>4</v>
      </c>
      <c r="T16" s="12">
        <f>IF(AND($C$4=$A16,T$3&lt;&gt;""),T$3,'EBA2017'!T16)</f>
        <v>152</v>
      </c>
      <c r="U16" s="4">
        <f>IF(AND($C$4=$A16,U$3&lt;&gt;""),U$3,'EBA2017'!U16)</f>
        <v>107.79800684624885</v>
      </c>
      <c r="V16" s="30">
        <f t="shared" si="3"/>
        <v>44</v>
      </c>
      <c r="W16" s="31">
        <f>VLOOKUP($A16,'Mech Base Calc'!$A:$Z,24,FALSE)</f>
        <v>39.762209050349462</v>
      </c>
      <c r="X16" s="4">
        <f>IF(AND($C$4=$A16,X$3&lt;&gt;""),X$3,'EBA2017'!X16)</f>
        <v>2.5</v>
      </c>
      <c r="Y16" s="4">
        <f>IF(AND($C$4=$A16,Y$3&lt;&gt;""),Y$3,'EBA2017'!Y16)</f>
        <v>0.33333333333333326</v>
      </c>
      <c r="Z16" s="4">
        <f>IF(AND($C$4=$A16,Z$3&lt;&gt;""),Z$3,'EBA2017'!Z16)</f>
        <v>5</v>
      </c>
      <c r="AA16" s="12" t="str">
        <f>IF(AND($C$4=$A16,AA$3&lt;&gt;""),AA$3,'EBA2017'!AA16)</f>
        <v>N/A</v>
      </c>
      <c r="AB16" s="4" t="str">
        <f>IF(AND($C$4=$A16,AB$3&lt;&gt;""),AB$3,'EBA2017'!AB16)</f>
        <v>N/A</v>
      </c>
      <c r="AC16" s="12">
        <f>IF(AND($C$4=$A16,AC$3&lt;&gt;""),AC$3,'EBA2017'!AC16)</f>
        <v>14</v>
      </c>
      <c r="AD16" s="4">
        <f>IF(AND($C$4=$A16,AD$3&lt;&gt;""),AD$3,'EBA2017'!AD16)</f>
        <v>22.464236159388342</v>
      </c>
      <c r="AE16" s="30">
        <f t="shared" si="4"/>
        <v>48</v>
      </c>
      <c r="AF16" s="31">
        <f>100*AVERAGE(IF(VLOOKUP(A16,'Data Gaps'!A:O,15,FALSE)="X",Calculator!AH16/4,AVERAGE(AG16/5,AH16/4)),AVERAGE(AI16/5,AJ16/8),IF(VLOOKUP(A16,'Data Gaps'!A:O,15,FALSE)="X",Calculator!AL16/7,AVERAGE(AK16/7,AL16/7)))</f>
        <v>40.952380952380956</v>
      </c>
      <c r="AG16" s="4">
        <f>IF(AND($C$4=$A16,AG$3&lt;&gt;""),AG$3,'EBA2017'!AG16)</f>
        <v>3.625</v>
      </c>
      <c r="AH16" s="4">
        <f>IF(AND($C$4=$A16,AH$3&lt;&gt;""),AH$3,'EBA2017'!AH16)</f>
        <v>0</v>
      </c>
      <c r="AI16" s="4">
        <f>IF(AND($C$4=$A16,AI$3&lt;&gt;""),AI$3,'EBA2017'!AI16)</f>
        <v>0</v>
      </c>
      <c r="AJ16" s="4">
        <f>IF(AND($C$4=$A16,AJ$3&lt;&gt;""),AJ$3,'EBA2017'!AJ16)</f>
        <v>7</v>
      </c>
      <c r="AK16" s="4">
        <f>IF(AND($C$4=$A16,AK$3&lt;&gt;""),AK$3,'EBA2017'!AK16)</f>
        <v>6</v>
      </c>
      <c r="AL16" s="4">
        <f>IF(AND($C$4=$A16,AL$3&lt;&gt;""),AL$3,'EBA2017'!AL16)</f>
        <v>0</v>
      </c>
      <c r="AM16" s="30">
        <f t="shared" si="5"/>
        <v>46</v>
      </c>
      <c r="AN16" s="31">
        <f>VLOOKUP($A16,'Mark Base Calc'!$A:$Z,21,FALSE)</f>
        <v>49.434246309246312</v>
      </c>
      <c r="AO16" s="4">
        <f>IF(AND($C$4=$A16,AO$3&lt;&gt;""),AO$3,'EBA2017'!AO16)</f>
        <v>8.75</v>
      </c>
      <c r="AP16" s="4">
        <f>IF(AND($C$4=$A16,AP$3&lt;&gt;""),AP$3,'EBA2017'!AP16)</f>
        <v>3</v>
      </c>
      <c r="AQ16" s="4">
        <f>IF(AND($C$4=$A16,AQ$3&lt;&gt;""),AQ$3,'EBA2017'!AQ16)</f>
        <v>5.5</v>
      </c>
      <c r="AR16" s="12">
        <f>IF(AND($C$4=$A16,AR$3&lt;&gt;""),AR$3,'EBA2017'!AR16)</f>
        <v>2</v>
      </c>
      <c r="AS16" s="12">
        <f>IF(AND($C$4=$A16,AS$3&lt;&gt;""),AS$3,'EBA2017'!AS16)</f>
        <v>6</v>
      </c>
      <c r="AT16" s="4">
        <f>IF(AND($C$4=$A16,AT$3&lt;&gt;""),AT$3,'EBA2017'!AT16)</f>
        <v>5.2364132710667244</v>
      </c>
      <c r="AU16" s="30">
        <f t="shared" si="6"/>
        <v>34</v>
      </c>
      <c r="AV16" s="31">
        <f t="shared" si="7"/>
        <v>53.447316543439818</v>
      </c>
      <c r="AW16" s="4">
        <f>IF(AND($C$4=$A16,AW$3&lt;&gt;""),AW$3,'EBA2017'!AW16)</f>
        <v>4.0000000000000009</v>
      </c>
      <c r="AX16" s="4">
        <f>IF(AND($C$4=$A16,AX$3&lt;&gt;""),AX$3,'EBA2017'!AX16)</f>
        <v>8</v>
      </c>
      <c r="AY16" s="4">
        <f>IF(AND($C$4=$A16,AY$3&lt;&gt;""),AY$3,'EBA2017'!AY16)</f>
        <v>36.95366848219382</v>
      </c>
      <c r="AZ16" s="4">
        <f>IF(AND($C$4=$A16,AZ$3&lt;&gt;""),AZ$3,'EBA2017'!AZ16)</f>
        <v>5</v>
      </c>
      <c r="BA16" s="12">
        <f>IF(AND($C$4=$A16,BA$3&lt;&gt;""),BA$3,'EBA2017'!BA16)</f>
        <v>7</v>
      </c>
      <c r="BB16" s="4">
        <f>IF(AND($C$4=$A16,BB$3&lt;&gt;""),BB$3,'EBA2017'!BB16)</f>
        <v>22.464236159388342</v>
      </c>
      <c r="BC16" s="30">
        <f t="shared" si="8"/>
        <v>37</v>
      </c>
      <c r="BD16" s="31">
        <f t="shared" si="9"/>
        <v>44.698275862068968</v>
      </c>
      <c r="BE16" s="4">
        <f>IF(AND($C$4=$A16,BE$3&lt;&gt;""),BE$3,'EBA2017'!BE16)</f>
        <v>16.5</v>
      </c>
      <c r="BF16" s="4">
        <f>IF(AND($C$4=$A16,BF$3&lt;&gt;""),BF$3,'EBA2017'!BF16)</f>
        <v>6.5</v>
      </c>
      <c r="BG16" s="30">
        <f t="shared" si="10"/>
        <v>43</v>
      </c>
      <c r="BH16" s="31">
        <f t="shared" si="11"/>
        <v>44.444444444444443</v>
      </c>
      <c r="BI16" s="4">
        <f>IF(AND($C$4=$A16,BI$3&lt;&gt;""),BI$3,'EBA2017'!BI16)</f>
        <v>4</v>
      </c>
    </row>
    <row r="17" spans="1:61" x14ac:dyDescent="0.2">
      <c r="A17" s="2" t="s">
        <v>34</v>
      </c>
      <c r="B17" s="3" t="s">
        <v>35</v>
      </c>
      <c r="C17" s="3" t="s">
        <v>16</v>
      </c>
      <c r="D17" s="3" t="s">
        <v>17</v>
      </c>
      <c r="E17" s="3" t="s">
        <v>9</v>
      </c>
      <c r="F17" s="3" t="s">
        <v>160</v>
      </c>
      <c r="G17" s="3" t="s">
        <v>158</v>
      </c>
      <c r="H17" s="30">
        <f t="shared" si="1"/>
        <v>58</v>
      </c>
      <c r="I17" s="31">
        <f>VLOOKUP($A17,'Seed Base Calc'!$A:$S,19,FALSE)</f>
        <v>24.6875</v>
      </c>
      <c r="J17" s="4">
        <f>IF(AND($C$4=$A17,J$3&lt;&gt;""),J$3,'EBA2017'!J17)</f>
        <v>3</v>
      </c>
      <c r="K17" s="4">
        <f>IF(AND($C$4=$A17,K$3&lt;&gt;""),K$3,'EBA2017'!K17)</f>
        <v>3.5</v>
      </c>
      <c r="L17" s="4">
        <f>IF(AND($C$4=$A17,L$3&lt;&gt;""),L$3,'EBA2017'!L17)</f>
        <v>3</v>
      </c>
      <c r="M17" s="12" t="str">
        <f>IF(AND($C$4=$A17,M$3&lt;&gt;""),M$3,'EBA2017'!M17)</f>
        <v>No practice</v>
      </c>
      <c r="N17" s="4" t="str">
        <f>IF(AND($C$4=$A17,N$3&lt;&gt;""),N$3,'EBA2017'!N17)</f>
        <v>No practice</v>
      </c>
      <c r="O17" s="30">
        <f t="shared" si="2"/>
        <v>48</v>
      </c>
      <c r="P17" s="31">
        <f>VLOOKUP($A17,'Fert Base Calc'!$A:$S,19,FALSE)</f>
        <v>37.5</v>
      </c>
      <c r="Q17" s="4">
        <f>IF(AND($C$4=$A17,Q$3&lt;&gt;""),Q$3,'EBA2017'!Q17)</f>
        <v>0</v>
      </c>
      <c r="R17" s="4">
        <f>IF(AND($C$4=$A17,R$3&lt;&gt;""),R$3,'EBA2017'!R17)</f>
        <v>3.5</v>
      </c>
      <c r="S17" s="4">
        <f>IF(AND($C$4=$A17,S$3&lt;&gt;""),S$3,'EBA2017'!S17)</f>
        <v>6</v>
      </c>
      <c r="T17" s="12" t="str">
        <f>IF(AND($C$4=$A17,T$3&lt;&gt;""),T$3,'EBA2017'!T17)</f>
        <v>N/A</v>
      </c>
      <c r="U17" s="4" t="str">
        <f>IF(AND($C$4=$A17,U$3&lt;&gt;""),U$3,'EBA2017'!U17)</f>
        <v>N/A</v>
      </c>
      <c r="V17" s="30">
        <f t="shared" si="3"/>
        <v>37</v>
      </c>
      <c r="W17" s="31">
        <f>VLOOKUP($A17,'Mech Base Calc'!$A:$Z,24,FALSE)</f>
        <v>46.301630366038758</v>
      </c>
      <c r="X17" s="4">
        <f>IF(AND($C$4=$A17,X$3&lt;&gt;""),X$3,'EBA2017'!X17)</f>
        <v>2.5</v>
      </c>
      <c r="Y17" s="4">
        <f>IF(AND($C$4=$A17,Y$3&lt;&gt;""),Y$3,'EBA2017'!Y17)</f>
        <v>6.5</v>
      </c>
      <c r="Z17" s="4">
        <f>IF(AND($C$4=$A17,Z$3&lt;&gt;""),Z$3,'EBA2017'!Z17)</f>
        <v>2</v>
      </c>
      <c r="AA17" s="12">
        <f>IF(AND($C$4=$A17,AA$3&lt;&gt;""),AA$3,'EBA2017'!AA17)</f>
        <v>90</v>
      </c>
      <c r="AB17" s="4">
        <f>IF(AND($C$4=$A17,AB$3&lt;&gt;""),AB$3,'EBA2017'!AB17)</f>
        <v>270.6929534935411</v>
      </c>
      <c r="AC17" s="12" t="str">
        <f>IF(AND($C$4=$A17,AC$3&lt;&gt;""),AC$3,'EBA2017'!AC17)</f>
        <v>No practice</v>
      </c>
      <c r="AD17" s="4" t="str">
        <f>IF(AND($C$4=$A17,AD$3&lt;&gt;""),AD$3,'EBA2017'!AD17)</f>
        <v>No practice</v>
      </c>
      <c r="AE17" s="30">
        <f t="shared" si="4"/>
        <v>51</v>
      </c>
      <c r="AF17" s="31">
        <f>100*AVERAGE(IF(VLOOKUP(A17,'Data Gaps'!A:O,15,FALSE)="X",Calculator!AH17/4,AVERAGE(AG17/5,AH17/4)),AVERAGE(AI17/5,AJ17/8),IF(VLOOKUP(A17,'Data Gaps'!A:O,15,FALSE)="X",Calculator!AL17/7,AVERAGE(AK17/7,AL17/7)))</f>
        <v>36.30952380952381</v>
      </c>
      <c r="AG17" s="4">
        <f>IF(AND($C$4=$A17,AG$3&lt;&gt;""),AG$3,'EBA2017'!AG17)</f>
        <v>0</v>
      </c>
      <c r="AH17" s="4">
        <f>IF(AND($C$4=$A17,AH$3&lt;&gt;""),AH$3,'EBA2017'!AH17)</f>
        <v>1</v>
      </c>
      <c r="AI17" s="4">
        <f>IF(AND($C$4=$A17,AI$3&lt;&gt;""),AI$3,'EBA2017'!AI17)</f>
        <v>0</v>
      </c>
      <c r="AJ17" s="4">
        <f>IF(AND($C$4=$A17,AJ$3&lt;&gt;""),AJ$3,'EBA2017'!AJ17)</f>
        <v>4</v>
      </c>
      <c r="AK17" s="4">
        <f>IF(AND($C$4=$A17,AK$3&lt;&gt;""),AK$3,'EBA2017'!AK17)</f>
        <v>5</v>
      </c>
      <c r="AL17" s="4">
        <f>IF(AND($C$4=$A17,AL$3&lt;&gt;""),AL$3,'EBA2017'!AL17)</f>
        <v>5</v>
      </c>
      <c r="AM17" s="30">
        <f t="shared" si="5"/>
        <v>41</v>
      </c>
      <c r="AN17" s="31">
        <f>VLOOKUP($A17,'Mark Base Calc'!$A:$Z,21,FALSE)</f>
        <v>53.04783426872288</v>
      </c>
      <c r="AO17" s="4">
        <f>IF(AND($C$4=$A17,AO$3&lt;&gt;""),AO$3,'EBA2017'!AO17)</f>
        <v>10</v>
      </c>
      <c r="AP17" s="4">
        <f>IF(AND($C$4=$A17,AP$3&lt;&gt;""),AP$3,'EBA2017'!AP17)</f>
        <v>4</v>
      </c>
      <c r="AQ17" s="4">
        <f>IF(AND($C$4=$A17,AQ$3&lt;&gt;""),AQ$3,'EBA2017'!AQ17)</f>
        <v>2</v>
      </c>
      <c r="AR17" s="12">
        <f>IF(AND($C$4=$A17,AR$3&lt;&gt;""),AR$3,'EBA2017'!AR17)</f>
        <v>1</v>
      </c>
      <c r="AS17" s="12">
        <f>IF(AND($C$4=$A17,AS$3&lt;&gt;""),AS$3,'EBA2017'!AS17)</f>
        <v>8</v>
      </c>
      <c r="AT17" s="4">
        <f>IF(AND($C$4=$A17,AT$3&lt;&gt;""),AT$3,'EBA2017'!AT17)</f>
        <v>0.68778264357688079</v>
      </c>
      <c r="AU17" s="30">
        <f t="shared" si="6"/>
        <v>31</v>
      </c>
      <c r="AV17" s="31">
        <f t="shared" si="7"/>
        <v>58.870470313646209</v>
      </c>
      <c r="AW17" s="4">
        <f>IF(AND($C$4=$A17,AW$3&lt;&gt;""),AW$3,'EBA2017'!AW17)</f>
        <v>5.8333333333333339</v>
      </c>
      <c r="AX17" s="4">
        <f>IF(AND($C$4=$A17,AX$3&lt;&gt;""),AX$3,'EBA2017'!AX17)</f>
        <v>65</v>
      </c>
      <c r="AY17" s="4">
        <f>IF(AND($C$4=$A17,AY$3&lt;&gt;""),AY$3,'EBA2017'!AY17)</f>
        <v>2.3384609881613945</v>
      </c>
      <c r="AZ17" s="4">
        <f>IF(AND($C$4=$A17,AZ$3&lt;&gt;""),AZ$3,'EBA2017'!AZ17)</f>
        <v>7.0000000000000009</v>
      </c>
      <c r="BA17" s="12">
        <f>IF(AND($C$4=$A17,BA$3&lt;&gt;""),BA$3,'EBA2017'!BA17)</f>
        <v>60</v>
      </c>
      <c r="BB17" s="4">
        <f>IF(AND($C$4=$A17,BB$3&lt;&gt;""),BB$3,'EBA2017'!BB17)</f>
        <v>1.3755652871537616</v>
      </c>
      <c r="BC17" s="30">
        <f t="shared" si="8"/>
        <v>44</v>
      </c>
      <c r="BD17" s="31">
        <f t="shared" si="9"/>
        <v>35.258620689655174</v>
      </c>
      <c r="BE17" s="4">
        <f>IF(AND($C$4=$A17,BE$3&lt;&gt;""),BE$3,'EBA2017'!BE17)</f>
        <v>4.5</v>
      </c>
      <c r="BF17" s="4">
        <f>IF(AND($C$4=$A17,BF$3&lt;&gt;""),BF$3,'EBA2017'!BF17)</f>
        <v>11</v>
      </c>
      <c r="BG17" s="30">
        <f t="shared" si="10"/>
        <v>52</v>
      </c>
      <c r="BH17" s="31">
        <f t="shared" si="11"/>
        <v>38.888888888888893</v>
      </c>
      <c r="BI17" s="4">
        <f>IF(AND($C$4=$A17,BI$3&lt;&gt;""),BI$3,'EBA2017'!BI17)</f>
        <v>3.5000000000000004</v>
      </c>
    </row>
    <row r="18" spans="1:61" x14ac:dyDescent="0.2">
      <c r="A18" s="2" t="s">
        <v>36</v>
      </c>
      <c r="B18" s="3" t="s">
        <v>37</v>
      </c>
      <c r="C18" s="3" t="s">
        <v>38</v>
      </c>
      <c r="D18" s="3" t="s">
        <v>39</v>
      </c>
      <c r="E18" s="3" t="s">
        <v>40</v>
      </c>
      <c r="F18" s="3" t="s">
        <v>159</v>
      </c>
      <c r="G18" s="3" t="s">
        <v>163</v>
      </c>
      <c r="H18" s="30">
        <f t="shared" si="1"/>
        <v>29</v>
      </c>
      <c r="I18" s="31">
        <f>VLOOKUP($A18,'Seed Base Calc'!$A:$S,19,FALSE)</f>
        <v>61.771121667119544</v>
      </c>
      <c r="J18" s="4">
        <f>IF(AND($C$4=$A18,J$3&lt;&gt;""),J$3,'EBA2017'!J18)</f>
        <v>9</v>
      </c>
      <c r="K18" s="4">
        <f>IF(AND($C$4=$A18,K$3&lt;&gt;""),K$3,'EBA2017'!K18)</f>
        <v>6</v>
      </c>
      <c r="L18" s="4">
        <f>IF(AND($C$4=$A18,L$3&lt;&gt;""),L$3,'EBA2017'!L18)</f>
        <v>4</v>
      </c>
      <c r="M18" s="12">
        <f>IF(AND($C$4=$A18,M$3&lt;&gt;""),M$3,'EBA2017'!M18)</f>
        <v>848</v>
      </c>
      <c r="N18" s="4">
        <f>IF(AND($C$4=$A18,N$3&lt;&gt;""),N$3,'EBA2017'!N18)</f>
        <v>12.524716902469724</v>
      </c>
      <c r="O18" s="30">
        <f t="shared" si="2"/>
        <v>54</v>
      </c>
      <c r="P18" s="31">
        <f>VLOOKUP($A18,'Fert Base Calc'!$A:$S,19,FALSE)</f>
        <v>26.785714285714285</v>
      </c>
      <c r="Q18" s="4">
        <f>IF(AND($C$4=$A18,Q$3&lt;&gt;""),Q$3,'EBA2017'!Q18)</f>
        <v>0</v>
      </c>
      <c r="R18" s="4">
        <f>IF(AND($C$4=$A18,R$3&lt;&gt;""),R$3,'EBA2017'!R18)</f>
        <v>3.5</v>
      </c>
      <c r="S18" s="4">
        <f>IF(AND($C$4=$A18,S$3&lt;&gt;""),S$3,'EBA2017'!S18)</f>
        <v>4</v>
      </c>
      <c r="T18" s="12" t="str">
        <f>IF(AND($C$4=$A18,T$3&lt;&gt;""),T$3,'EBA2017'!T18)</f>
        <v>N/A</v>
      </c>
      <c r="U18" s="4" t="str">
        <f>IF(AND($C$4=$A18,U$3&lt;&gt;""),U$3,'EBA2017'!U18)</f>
        <v>N/A</v>
      </c>
      <c r="V18" s="30">
        <f t="shared" si="3"/>
        <v>28</v>
      </c>
      <c r="W18" s="31">
        <f>VLOOKUP($A18,'Mech Base Calc'!$A:$Z,24,FALSE)</f>
        <v>54.698243449170803</v>
      </c>
      <c r="X18" s="4">
        <f>IF(AND($C$4=$A18,X$3&lt;&gt;""),X$3,'EBA2017'!X18)</f>
        <v>4</v>
      </c>
      <c r="Y18" s="4">
        <f>IF(AND($C$4=$A18,Y$3&lt;&gt;""),Y$3,'EBA2017'!Y18)</f>
        <v>0</v>
      </c>
      <c r="Z18" s="4">
        <f>IF(AND($C$4=$A18,Z$3&lt;&gt;""),Z$3,'EBA2017'!Z18)</f>
        <v>5</v>
      </c>
      <c r="AA18" s="12" t="str">
        <f>IF(AND($C$4=$A18,AA$3&lt;&gt;""),AA$3,'EBA2017'!AA18)</f>
        <v>N/A</v>
      </c>
      <c r="AB18" s="4" t="str">
        <f>IF(AND($C$4=$A18,AB$3&lt;&gt;""),AB$3,'EBA2017'!AB18)</f>
        <v>N/A</v>
      </c>
      <c r="AC18" s="12">
        <f>IF(AND($C$4=$A18,AC$3&lt;&gt;""),AC$3,'EBA2017'!AC18)</f>
        <v>4</v>
      </c>
      <c r="AD18" s="4">
        <f>IF(AND($C$4=$A18,AD$3&lt;&gt;""),AD$3,'EBA2017'!AD18)</f>
        <v>0.57098356697200725</v>
      </c>
      <c r="AE18" s="30">
        <f t="shared" si="4"/>
        <v>46</v>
      </c>
      <c r="AF18" s="31">
        <f>100*AVERAGE(IF(VLOOKUP(A18,'Data Gaps'!A:O,15,FALSE)="X",Calculator!AH18/4,AVERAGE(AG18/5,AH18/4)),AVERAGE(AI18/5,AJ18/8),IF(VLOOKUP(A18,'Data Gaps'!A:O,15,FALSE)="X",Calculator!AL18/7,AVERAGE(AK18/7,AL18/7)))</f>
        <v>42.61904761904762</v>
      </c>
      <c r="AG18" s="4">
        <f>IF(AND($C$4=$A18,AG$3&lt;&gt;""),AG$3,'EBA2017'!AG18)</f>
        <v>0</v>
      </c>
      <c r="AH18" s="4">
        <f>IF(AND($C$4=$A18,AH$3&lt;&gt;""),AH$3,'EBA2017'!AH18)</f>
        <v>1</v>
      </c>
      <c r="AI18" s="4">
        <f>IF(AND($C$4=$A18,AI$3&lt;&gt;""),AI$3,'EBA2017'!AI18)</f>
        <v>3.5</v>
      </c>
      <c r="AJ18" s="4">
        <f>IF(AND($C$4=$A18,AJ$3&lt;&gt;""),AJ$3,'EBA2017'!AJ18)</f>
        <v>6</v>
      </c>
      <c r="AK18" s="4">
        <f>IF(AND($C$4=$A18,AK$3&lt;&gt;""),AK$3,'EBA2017'!AK18)</f>
        <v>0</v>
      </c>
      <c r="AL18" s="4">
        <f>IF(AND($C$4=$A18,AL$3&lt;&gt;""),AL$3,'EBA2017'!AL18)</f>
        <v>6</v>
      </c>
      <c r="AM18" s="30">
        <f t="shared" si="5"/>
        <v>9</v>
      </c>
      <c r="AN18" s="31">
        <f>VLOOKUP($A18,'Mark Base Calc'!$A:$Z,21,FALSE)</f>
        <v>76.405870474532563</v>
      </c>
      <c r="AO18" s="4">
        <f>IF(AND($C$4=$A18,AO$3&lt;&gt;""),AO$3,'EBA2017'!AO18)</f>
        <v>6</v>
      </c>
      <c r="AP18" s="4">
        <f>IF(AND($C$4=$A18,AP$3&lt;&gt;""),AP$3,'EBA2017'!AP18)</f>
        <v>7</v>
      </c>
      <c r="AQ18" s="4">
        <f>IF(AND($C$4=$A18,AQ$3&lt;&gt;""),AQ$3,'EBA2017'!AQ18)</f>
        <v>7.5</v>
      </c>
      <c r="AR18" s="12">
        <f>IF(AND($C$4=$A18,AR$3&lt;&gt;""),AR$3,'EBA2017'!AR18)</f>
        <v>1</v>
      </c>
      <c r="AS18" s="12">
        <f>IF(AND($C$4=$A18,AS$3&lt;&gt;""),AS$3,'EBA2017'!AS18)</f>
        <v>1</v>
      </c>
      <c r="AT18" s="4">
        <f>IF(AND($C$4=$A18,AT$3&lt;&gt;""),AT$3,'EBA2017'!AT18)</f>
        <v>9.6180469374906713E-6</v>
      </c>
      <c r="AU18" s="30">
        <f t="shared" si="6"/>
        <v>44</v>
      </c>
      <c r="AV18" s="31">
        <f t="shared" si="7"/>
        <v>44.435884266392748</v>
      </c>
      <c r="AW18" s="4">
        <f>IF(AND($C$4=$A18,AW$3&lt;&gt;""),AW$3,'EBA2017'!AW18)</f>
        <v>2.9999999999999996</v>
      </c>
      <c r="AX18" s="4" t="str">
        <f>IF(AND($C$4=$A18,AX$3&lt;&gt;""),AX$3,'EBA2017'!AX18)</f>
        <v>N/A</v>
      </c>
      <c r="AY18" s="4" t="str">
        <f>IF(AND($C$4=$A18,AY$3&lt;&gt;""),AY$3,'EBA2017'!AY18)</f>
        <v>N/A</v>
      </c>
      <c r="AZ18" s="4">
        <f>IF(AND($C$4=$A18,AZ$3&lt;&gt;""),AZ$3,'EBA2017'!AZ18)</f>
        <v>5</v>
      </c>
      <c r="BA18" s="12">
        <f>IF(AND($C$4=$A18,BA$3&lt;&gt;""),BA$3,'EBA2017'!BA18)</f>
        <v>7</v>
      </c>
      <c r="BB18" s="4">
        <f>IF(AND($C$4=$A18,BB$3&lt;&gt;""),BB$3,'EBA2017'!BB18)</f>
        <v>0</v>
      </c>
      <c r="BC18" s="30">
        <f t="shared" si="8"/>
        <v>28</v>
      </c>
      <c r="BD18" s="31">
        <f t="shared" si="9"/>
        <v>55.172413793103445</v>
      </c>
      <c r="BE18" s="4">
        <f>IF(AND($C$4=$A18,BE$3&lt;&gt;""),BE$3,'EBA2017'!BE18)</f>
        <v>17.5</v>
      </c>
      <c r="BF18" s="4">
        <f>IF(AND($C$4=$A18,BF$3&lt;&gt;""),BF$3,'EBA2017'!BF18)</f>
        <v>10</v>
      </c>
      <c r="BG18" s="30">
        <f t="shared" si="10"/>
        <v>15</v>
      </c>
      <c r="BH18" s="31">
        <f t="shared" si="11"/>
        <v>72.222222222222214</v>
      </c>
      <c r="BI18" s="4">
        <f>IF(AND($C$4=$A18,BI$3&lt;&gt;""),BI$3,'EBA2017'!BI18)</f>
        <v>6.4999999999999991</v>
      </c>
    </row>
    <row r="19" spans="1:61" x14ac:dyDescent="0.2">
      <c r="A19" s="2" t="s">
        <v>41</v>
      </c>
      <c r="B19" s="3" t="s">
        <v>42</v>
      </c>
      <c r="C19" s="3" t="s">
        <v>21</v>
      </c>
      <c r="D19" s="3" t="s">
        <v>22</v>
      </c>
      <c r="E19" s="3" t="s">
        <v>25</v>
      </c>
      <c r="F19" s="3" t="s">
        <v>160</v>
      </c>
      <c r="G19" s="3" t="s">
        <v>158</v>
      </c>
      <c r="H19" s="30">
        <f t="shared" si="1"/>
        <v>27</v>
      </c>
      <c r="I19" s="31">
        <f>VLOOKUP($A19,'Seed Base Calc'!$A:$S,19,FALSE)</f>
        <v>63.190538024035867</v>
      </c>
      <c r="J19" s="4">
        <f>IF(AND($C$4=$A19,J$3&lt;&gt;""),J$3,'EBA2017'!J19)</f>
        <v>9</v>
      </c>
      <c r="K19" s="4">
        <f>IF(AND($C$4=$A19,K$3&lt;&gt;""),K$3,'EBA2017'!K19)</f>
        <v>4</v>
      </c>
      <c r="L19" s="4">
        <f>IF(AND($C$4=$A19,L$3&lt;&gt;""),L$3,'EBA2017'!L19)</f>
        <v>6.5</v>
      </c>
      <c r="M19" s="12">
        <f>IF(AND($C$4=$A19,M$3&lt;&gt;""),M$3,'EBA2017'!M19)</f>
        <v>591</v>
      </c>
      <c r="N19" s="4">
        <f>IF(AND($C$4=$A19,N$3&lt;&gt;""),N$3,'EBA2017'!N19)</f>
        <v>53.413718456254543</v>
      </c>
      <c r="O19" s="30">
        <f t="shared" si="2"/>
        <v>7</v>
      </c>
      <c r="P19" s="31">
        <f>VLOOKUP($A19,'Fert Base Calc'!$A:$S,19,FALSE)</f>
        <v>81.576373254727883</v>
      </c>
      <c r="Q19" s="4">
        <f>IF(AND($C$4=$A19,Q$3&lt;&gt;""),Q$3,'EBA2017'!Q19)</f>
        <v>6</v>
      </c>
      <c r="R19" s="4">
        <f>IF(AND($C$4=$A19,R$3&lt;&gt;""),R$3,'EBA2017'!R19)</f>
        <v>6</v>
      </c>
      <c r="S19" s="4">
        <f>IF(AND($C$4=$A19,S$3&lt;&gt;""),S$3,'EBA2017'!S19)</f>
        <v>4</v>
      </c>
      <c r="T19" s="12">
        <f>IF(AND($C$4=$A19,T$3&lt;&gt;""),T$3,'EBA2017'!T19)</f>
        <v>45</v>
      </c>
      <c r="U19" s="4">
        <f>IF(AND($C$4=$A19,U$3&lt;&gt;""),U$3,'EBA2017'!U19)</f>
        <v>7.8348733533794253</v>
      </c>
      <c r="V19" s="30">
        <f t="shared" si="3"/>
        <v>45</v>
      </c>
      <c r="W19" s="31">
        <f>VLOOKUP($A19,'Mech Base Calc'!$A:$Z,24,FALSE)</f>
        <v>38.155679521220051</v>
      </c>
      <c r="X19" s="4">
        <f>IF(AND($C$4=$A19,X$3&lt;&gt;""),X$3,'EBA2017'!X19)</f>
        <v>1.5</v>
      </c>
      <c r="Y19" s="4">
        <f>IF(AND($C$4=$A19,Y$3&lt;&gt;""),Y$3,'EBA2017'!Y19)</f>
        <v>0.33333333333333326</v>
      </c>
      <c r="Z19" s="4">
        <f>IF(AND($C$4=$A19,Z$3&lt;&gt;""),Z$3,'EBA2017'!Z19)</f>
        <v>3</v>
      </c>
      <c r="AA19" s="12" t="str">
        <f>IF(AND($C$4=$A19,AA$3&lt;&gt;""),AA$3,'EBA2017'!AA19)</f>
        <v>N/A</v>
      </c>
      <c r="AB19" s="4" t="str">
        <f>IF(AND($C$4=$A19,AB$3&lt;&gt;""),AB$3,'EBA2017'!AB19)</f>
        <v>N/A</v>
      </c>
      <c r="AC19" s="12">
        <f>IF(AND($C$4=$A19,AC$3&lt;&gt;""),AC$3,'EBA2017'!AC19)</f>
        <v>2</v>
      </c>
      <c r="AD19" s="4">
        <f>IF(AND($C$4=$A19,AD$3&lt;&gt;""),AD$3,'EBA2017'!AD19)</f>
        <v>1.107402594117233</v>
      </c>
      <c r="AE19" s="30">
        <f t="shared" si="4"/>
        <v>1</v>
      </c>
      <c r="AF19" s="31">
        <f>100*AVERAGE(IF(VLOOKUP(A19,'Data Gaps'!A:O,15,FALSE)="X",Calculator!AH19/4,AVERAGE(AG19/5,AH19/4)),AVERAGE(AI19/5,AJ19/8),IF(VLOOKUP(A19,'Data Gaps'!A:O,15,FALSE)="X",Calculator!AL19/7,AVERAGE(AK19/7,AL19/7)))</f>
        <v>92.099206349206355</v>
      </c>
      <c r="AG19" s="4">
        <f>IF(AND($C$4=$A19,AG$3&lt;&gt;""),AG$3,'EBA2017'!AG19)</f>
        <v>4.4749999999999996</v>
      </c>
      <c r="AH19" s="4">
        <f>IF(AND($C$4=$A19,AH$3&lt;&gt;""),AH$3,'EBA2017'!AH19)</f>
        <v>3.6666666666666661</v>
      </c>
      <c r="AI19" s="4">
        <f>IF(AND($C$4=$A19,AI$3&lt;&gt;""),AI$3,'EBA2017'!AI19)</f>
        <v>5</v>
      </c>
      <c r="AJ19" s="4">
        <f>IF(AND($C$4=$A19,AJ$3&lt;&gt;""),AJ$3,'EBA2017'!AJ19)</f>
        <v>8</v>
      </c>
      <c r="AK19" s="4">
        <f>IF(AND($C$4=$A19,AK$3&lt;&gt;""),AK$3,'EBA2017'!AK19)</f>
        <v>5</v>
      </c>
      <c r="AL19" s="4">
        <f>IF(AND($C$4=$A19,AL$3&lt;&gt;""),AL$3,'EBA2017'!AL19)</f>
        <v>7</v>
      </c>
      <c r="AM19" s="30">
        <f t="shared" si="5"/>
        <v>17</v>
      </c>
      <c r="AN19" s="31">
        <f>VLOOKUP($A19,'Mark Base Calc'!$A:$Z,21,FALSE)</f>
        <v>70.083295422002436</v>
      </c>
      <c r="AO19" s="4">
        <f>IF(AND($C$4=$A19,AO$3&lt;&gt;""),AO$3,'EBA2017'!AO19)</f>
        <v>9.1</v>
      </c>
      <c r="AP19" s="4">
        <f>IF(AND($C$4=$A19,AP$3&lt;&gt;""),AP$3,'EBA2017'!AP19)</f>
        <v>6</v>
      </c>
      <c r="AQ19" s="4">
        <f>IF(AND($C$4=$A19,AQ$3&lt;&gt;""),AQ$3,'EBA2017'!AQ19)</f>
        <v>6</v>
      </c>
      <c r="AR19" s="12">
        <f>IF(AND($C$4=$A19,AR$3&lt;&gt;""),AR$3,'EBA2017'!AR19)</f>
        <v>2</v>
      </c>
      <c r="AS19" s="12">
        <f>IF(AND($C$4=$A19,AS$3&lt;&gt;""),AS$3,'EBA2017'!AS19)</f>
        <v>4</v>
      </c>
      <c r="AT19" s="4">
        <f>IF(AND($C$4=$A19,AT$3&lt;&gt;""),AT$3,'EBA2017'!AT19)</f>
        <v>0.39989538120900087</v>
      </c>
      <c r="AU19" s="30">
        <f t="shared" si="6"/>
        <v>10</v>
      </c>
      <c r="AV19" s="31">
        <f t="shared" si="7"/>
        <v>73.921302842701621</v>
      </c>
      <c r="AW19" s="4">
        <f>IF(AND($C$4=$A19,AW$3&lt;&gt;""),AW$3,'EBA2017'!AW19)</f>
        <v>8.0000000000000018</v>
      </c>
      <c r="AX19" s="4">
        <f>IF(AND($C$4=$A19,AX$3&lt;&gt;""),AX$3,'EBA2017'!AX19)</f>
        <v>60</v>
      </c>
      <c r="AY19" s="4">
        <f>IF(AND($C$4=$A19,AY$3&lt;&gt;""),AY$3,'EBA2017'!AY19)</f>
        <v>3.1622496298680995</v>
      </c>
      <c r="AZ19" s="4">
        <f>IF(AND($C$4=$A19,AZ$3&lt;&gt;""),AZ$3,'EBA2017'!AZ19)</f>
        <v>7.0000000000000009</v>
      </c>
      <c r="BA19" s="12">
        <f>IF(AND($C$4=$A19,BA$3&lt;&gt;""),BA$3,'EBA2017'!BA19)</f>
        <v>15</v>
      </c>
      <c r="BB19" s="4">
        <f>IF(AND($C$4=$A19,BB$3&lt;&gt;""),BB$3,'EBA2017'!BB19)</f>
        <v>0.76902957924807869</v>
      </c>
      <c r="BC19" s="30">
        <f t="shared" si="8"/>
        <v>3</v>
      </c>
      <c r="BD19" s="31">
        <f t="shared" si="9"/>
        <v>85.517241379310335</v>
      </c>
      <c r="BE19" s="4">
        <f>IF(AND($C$4=$A19,BE$3&lt;&gt;""),BE$3,'EBA2017'!BE19)</f>
        <v>23.5</v>
      </c>
      <c r="BF19" s="4">
        <f>IF(AND($C$4=$A19,BF$3&lt;&gt;""),BF$3,'EBA2017'!BF19)</f>
        <v>18</v>
      </c>
      <c r="BG19" s="30">
        <f t="shared" si="10"/>
        <v>9</v>
      </c>
      <c r="BH19" s="31">
        <f t="shared" si="11"/>
        <v>88.888888888888886</v>
      </c>
      <c r="BI19" s="4">
        <f>IF(AND($C$4=$A19,BI$3&lt;&gt;""),BI$3,'EBA2017'!BI19)</f>
        <v>8</v>
      </c>
    </row>
    <row r="20" spans="1:61" x14ac:dyDescent="0.2">
      <c r="A20" s="2" t="s">
        <v>43</v>
      </c>
      <c r="B20" s="3" t="s">
        <v>44</v>
      </c>
      <c r="C20" s="3" t="s">
        <v>16</v>
      </c>
      <c r="D20" s="3" t="s">
        <v>17</v>
      </c>
      <c r="E20" s="3" t="s">
        <v>9</v>
      </c>
      <c r="F20" s="3" t="s">
        <v>160</v>
      </c>
      <c r="G20" s="3" t="s">
        <v>158</v>
      </c>
      <c r="H20" s="30">
        <f t="shared" si="1"/>
        <v>30</v>
      </c>
      <c r="I20" s="31">
        <f>VLOOKUP($A20,'Seed Base Calc'!$A:$S,19,FALSE)</f>
        <v>60.201908203260714</v>
      </c>
      <c r="J20" s="4">
        <f>IF(AND($C$4=$A20,J$3&lt;&gt;""),J$3,'EBA2017'!J20)</f>
        <v>6</v>
      </c>
      <c r="K20" s="4">
        <f>IF(AND($C$4=$A20,K$3&lt;&gt;""),K$3,'EBA2017'!K20)</f>
        <v>6.5</v>
      </c>
      <c r="L20" s="4">
        <f>IF(AND($C$4=$A20,L$3&lt;&gt;""),L$3,'EBA2017'!L20)</f>
        <v>3</v>
      </c>
      <c r="M20" s="12">
        <f>IF(AND($C$4=$A20,M$3&lt;&gt;""),M$3,'EBA2017'!M20)</f>
        <v>368</v>
      </c>
      <c r="N20" s="4">
        <f>IF(AND($C$4=$A20,N$3&lt;&gt;""),N$3,'EBA2017'!N20)</f>
        <v>137.15734418444049</v>
      </c>
      <c r="O20" s="30">
        <f t="shared" si="2"/>
        <v>45</v>
      </c>
      <c r="P20" s="31">
        <f>VLOOKUP($A20,'Fert Base Calc'!$A:$S,19,FALSE)</f>
        <v>39.285714285714285</v>
      </c>
      <c r="Q20" s="4">
        <f>IF(AND($C$4=$A20,Q$3&lt;&gt;""),Q$3,'EBA2017'!Q20)</f>
        <v>0</v>
      </c>
      <c r="R20" s="4">
        <f>IF(AND($C$4=$A20,R$3&lt;&gt;""),R$3,'EBA2017'!R20)</f>
        <v>5</v>
      </c>
      <c r="S20" s="4">
        <f>IF(AND($C$4=$A20,S$3&lt;&gt;""),S$3,'EBA2017'!S20)</f>
        <v>6</v>
      </c>
      <c r="T20" s="12" t="str">
        <f>IF(AND($C$4=$A20,T$3&lt;&gt;""),T$3,'EBA2017'!T20)</f>
        <v>N/A</v>
      </c>
      <c r="U20" s="4" t="str">
        <f>IF(AND($C$4=$A20,U$3&lt;&gt;""),U$3,'EBA2017'!U20)</f>
        <v>N/A</v>
      </c>
      <c r="V20" s="30">
        <f t="shared" si="3"/>
        <v>35</v>
      </c>
      <c r="W20" s="31">
        <f>VLOOKUP($A20,'Mech Base Calc'!$A:$Z,24,FALSE)</f>
        <v>47.443411872276791</v>
      </c>
      <c r="X20" s="4">
        <f>IF(AND($C$4=$A20,X$3&lt;&gt;""),X$3,'EBA2017'!X20)</f>
        <v>1.5</v>
      </c>
      <c r="Y20" s="4">
        <f>IF(AND($C$4=$A20,Y$3&lt;&gt;""),Y$3,'EBA2017'!Y20)</f>
        <v>6.6666666666666679</v>
      </c>
      <c r="Z20" s="4">
        <f>IF(AND($C$4=$A20,Z$3&lt;&gt;""),Z$3,'EBA2017'!Z20)</f>
        <v>1.5</v>
      </c>
      <c r="AA20" s="12">
        <f>IF(AND($C$4=$A20,AA$3&lt;&gt;""),AA$3,'EBA2017'!AA20)</f>
        <v>18</v>
      </c>
      <c r="AB20" s="4">
        <f>IF(AND($C$4=$A20,AB$3&lt;&gt;""),AB$3,'EBA2017'!AB20)</f>
        <v>40.494073044930055</v>
      </c>
      <c r="AC20" s="12" t="str">
        <f>IF(AND($C$4=$A20,AC$3&lt;&gt;""),AC$3,'EBA2017'!AC20)</f>
        <v>N/A</v>
      </c>
      <c r="AD20" s="4" t="str">
        <f>IF(AND($C$4=$A20,AD$3&lt;&gt;""),AD$3,'EBA2017'!AD20)</f>
        <v>N/A</v>
      </c>
      <c r="AE20" s="30">
        <f t="shared" si="4"/>
        <v>18</v>
      </c>
      <c r="AF20" s="31">
        <f>100*AVERAGE(IF(VLOOKUP(A20,'Data Gaps'!A:O,15,FALSE)="X",Calculator!AH20/4,AVERAGE(AG20/5,AH20/4)),AVERAGE(AI20/5,AJ20/8),IF(VLOOKUP(A20,'Data Gaps'!A:O,15,FALSE)="X",Calculator!AL20/7,AVERAGE(AK20/7,AL20/7)))</f>
        <v>60.367063492063487</v>
      </c>
      <c r="AG20" s="4">
        <f>IF(AND($C$4=$A20,AG$3&lt;&gt;""),AG$3,'EBA2017'!AG20)</f>
        <v>0</v>
      </c>
      <c r="AH20" s="4">
        <f>IF(AND($C$4=$A20,AH$3&lt;&gt;""),AH$3,'EBA2017'!AH20)</f>
        <v>3.9166666666666661</v>
      </c>
      <c r="AI20" s="4">
        <f>IF(AND($C$4=$A20,AI$3&lt;&gt;""),AI$3,'EBA2017'!AI20)</f>
        <v>5</v>
      </c>
      <c r="AJ20" s="4">
        <f>IF(AND($C$4=$A20,AJ$3&lt;&gt;""),AJ$3,'EBA2017'!AJ20)</f>
        <v>4</v>
      </c>
      <c r="AK20" s="4">
        <f>IF(AND($C$4=$A20,AK$3&lt;&gt;""),AK$3,'EBA2017'!AK20)</f>
        <v>4</v>
      </c>
      <c r="AL20" s="4">
        <f>IF(AND($C$4=$A20,AL$3&lt;&gt;""),AL$3,'EBA2017'!AL20)</f>
        <v>4</v>
      </c>
      <c r="AM20" s="30">
        <f t="shared" si="5"/>
        <v>60</v>
      </c>
      <c r="AN20" s="31">
        <f>VLOOKUP($A20,'Mark Base Calc'!$A:$Z,21,FALSE)</f>
        <v>31.674866611195217</v>
      </c>
      <c r="AO20" s="4">
        <f>IF(AND($C$4=$A20,AO$3&lt;&gt;""),AO$3,'EBA2017'!AO20)</f>
        <v>7.5</v>
      </c>
      <c r="AP20" s="4">
        <f>IF(AND($C$4=$A20,AP$3&lt;&gt;""),AP$3,'EBA2017'!AP20)</f>
        <v>2</v>
      </c>
      <c r="AQ20" s="4">
        <f>IF(AND($C$4=$A20,AQ$3&lt;&gt;""),AQ$3,'EBA2017'!AQ20)</f>
        <v>2</v>
      </c>
      <c r="AR20" s="12">
        <f>IF(AND($C$4=$A20,AR$3&lt;&gt;""),AR$3,'EBA2017'!AR20)</f>
        <v>3</v>
      </c>
      <c r="AS20" s="12">
        <f>IF(AND($C$4=$A20,AS$3&lt;&gt;""),AS$3,'EBA2017'!AS20)</f>
        <v>11</v>
      </c>
      <c r="AT20" s="4">
        <f>IF(AND($C$4=$A20,AT$3&lt;&gt;""),AT$3,'EBA2017'!AT20)</f>
        <v>3.1232686661428306</v>
      </c>
      <c r="AU20" s="30">
        <f t="shared" si="6"/>
        <v>19</v>
      </c>
      <c r="AV20" s="31">
        <f t="shared" si="7"/>
        <v>68.002386594147879</v>
      </c>
      <c r="AW20" s="4">
        <f>IF(AND($C$4=$A20,AW$3&lt;&gt;""),AW$3,'EBA2017'!AW20)</f>
        <v>5</v>
      </c>
      <c r="AX20" s="4">
        <f>IF(AND($C$4=$A20,AX$3&lt;&gt;""),AX$3,'EBA2017'!AX20)</f>
        <v>3</v>
      </c>
      <c r="AY20" s="4">
        <f>IF(AND($C$4=$A20,AY$3&lt;&gt;""),AY$3,'EBA2017'!AY20)</f>
        <v>15.021994839248245</v>
      </c>
      <c r="AZ20" s="4">
        <f>IF(AND($C$4=$A20,AZ$3&lt;&gt;""),AZ$3,'EBA2017'!AZ20)</f>
        <v>5</v>
      </c>
      <c r="BA20" s="12">
        <f>IF(AND($C$4=$A20,BA$3&lt;&gt;""),BA$3,'EBA2017'!BA20)</f>
        <v>2</v>
      </c>
      <c r="BB20" s="4">
        <f>IF(AND($C$4=$A20,BB$3&lt;&gt;""),BB$3,'EBA2017'!BB20)</f>
        <v>3.9187812624125851</v>
      </c>
      <c r="BC20" s="30">
        <f t="shared" si="8"/>
        <v>49</v>
      </c>
      <c r="BD20" s="31">
        <f t="shared" si="9"/>
        <v>25.603448275862068</v>
      </c>
      <c r="BE20" s="4">
        <f>IF(AND($C$4=$A20,BE$3&lt;&gt;""),BE$3,'EBA2017'!BE20)</f>
        <v>10.499999999999998</v>
      </c>
      <c r="BF20" s="4">
        <f>IF(AND($C$4=$A20,BF$3&lt;&gt;""),BF$3,'EBA2017'!BF20)</f>
        <v>3</v>
      </c>
      <c r="BG20" s="30">
        <f t="shared" si="10"/>
        <v>22</v>
      </c>
      <c r="BH20" s="31">
        <f t="shared" si="11"/>
        <v>61.111111111111114</v>
      </c>
      <c r="BI20" s="4">
        <f>IF(AND($C$4=$A20,BI$3&lt;&gt;""),BI$3,'EBA2017'!BI20)</f>
        <v>5.5</v>
      </c>
    </row>
    <row r="21" spans="1:61" x14ac:dyDescent="0.2">
      <c r="A21" s="2" t="s">
        <v>45</v>
      </c>
      <c r="B21" s="3" t="s">
        <v>46</v>
      </c>
      <c r="C21" s="3" t="s">
        <v>38</v>
      </c>
      <c r="D21" s="3" t="s">
        <v>39</v>
      </c>
      <c r="E21" s="3" t="s">
        <v>40</v>
      </c>
      <c r="F21" s="3" t="s">
        <v>162</v>
      </c>
      <c r="G21" s="3" t="s">
        <v>163</v>
      </c>
      <c r="H21" s="30">
        <f t="shared" si="1"/>
        <v>3</v>
      </c>
      <c r="I21" s="31">
        <f>VLOOKUP($A21,'Seed Base Calc'!$A:$S,19,FALSE)</f>
        <v>85.315015939799338</v>
      </c>
      <c r="J21" s="4">
        <f>IF(AND($C$4=$A21,J$3&lt;&gt;""),J$3,'EBA2017'!J21)</f>
        <v>9</v>
      </c>
      <c r="K21" s="4">
        <f>IF(AND($C$4=$A21,K$3&lt;&gt;""),K$3,'EBA2017'!K21)</f>
        <v>7</v>
      </c>
      <c r="L21" s="4">
        <f>IF(AND($C$4=$A21,L$3&lt;&gt;""),L$3,'EBA2017'!L21)</f>
        <v>12</v>
      </c>
      <c r="M21" s="12">
        <f>IF(AND($C$4=$A21,M$3&lt;&gt;""),M$3,'EBA2017'!M21)</f>
        <v>690</v>
      </c>
      <c r="N21" s="4">
        <f>IF(AND($C$4=$A21,N$3&lt;&gt;""),N$3,'EBA2017'!N21)</f>
        <v>7.3891268249424407</v>
      </c>
      <c r="O21" s="30">
        <f t="shared" si="2"/>
        <v>3</v>
      </c>
      <c r="P21" s="31">
        <f>VLOOKUP($A21,'Fert Base Calc'!$A:$S,19,FALSE)</f>
        <v>92.228587630403993</v>
      </c>
      <c r="Q21" s="4">
        <f>IF(AND($C$4=$A21,Q$3&lt;&gt;""),Q$3,'EBA2017'!Q21)</f>
        <v>6.4</v>
      </c>
      <c r="R21" s="4">
        <f>IF(AND($C$4=$A21,R$3&lt;&gt;""),R$3,'EBA2017'!R21)</f>
        <v>6.5</v>
      </c>
      <c r="S21" s="4">
        <f>IF(AND($C$4=$A21,S$3&lt;&gt;""),S$3,'EBA2017'!S21)</f>
        <v>6</v>
      </c>
      <c r="T21" s="12">
        <f>IF(AND($C$4=$A21,T$3&lt;&gt;""),T$3,'EBA2017'!T21)</f>
        <v>31</v>
      </c>
      <c r="U21" s="4">
        <f>IF(AND($C$4=$A21,U$3&lt;&gt;""),U$3,'EBA2017'!U21)</f>
        <v>0.4263386760504525</v>
      </c>
      <c r="V21" s="30">
        <f t="shared" si="3"/>
        <v>8</v>
      </c>
      <c r="W21" s="31">
        <f>VLOOKUP($A21,'Mech Base Calc'!$A:$Z,24,FALSE)</f>
        <v>81.819755857891451</v>
      </c>
      <c r="X21" s="4">
        <f>IF(AND($C$4=$A21,X$3&lt;&gt;""),X$3,'EBA2017'!X21)</f>
        <v>2</v>
      </c>
      <c r="Y21" s="4">
        <f>IF(AND($C$4=$A21,Y$3&lt;&gt;""),Y$3,'EBA2017'!Y21)</f>
        <v>7</v>
      </c>
      <c r="Z21" s="4">
        <f>IF(AND($C$4=$A21,Z$3&lt;&gt;""),Z$3,'EBA2017'!Z21)</f>
        <v>5</v>
      </c>
      <c r="AA21" s="12" t="str">
        <f>IF(AND($C$4=$A21,AA$3&lt;&gt;""),AA$3,'EBA2017'!AA21)</f>
        <v>No data</v>
      </c>
      <c r="AB21" s="4" t="str">
        <f>IF(AND($C$4=$A21,AB$3&lt;&gt;""),AB$3,'EBA2017'!AB21)</f>
        <v>No data</v>
      </c>
      <c r="AC21" s="12" t="str">
        <f>IF(AND($C$4=$A21,AC$3&lt;&gt;""),AC$3,'EBA2017'!AC21)</f>
        <v>No data</v>
      </c>
      <c r="AD21" s="4">
        <f>IF(AND($C$4=$A21,AD$3&lt;&gt;""),AD$3,'EBA2017'!AD21)</f>
        <v>0.10595729031992933</v>
      </c>
      <c r="AE21" s="30">
        <f t="shared" si="4"/>
        <v>37</v>
      </c>
      <c r="AF21" s="31">
        <f>100*AVERAGE(IF(VLOOKUP(A21,'Data Gaps'!A:O,15,FALSE)="X",Calculator!AH21/4,AVERAGE(AG21/5,AH21/4)),AVERAGE(AI21/5,AJ21/8),IF(VLOOKUP(A21,'Data Gaps'!A:O,15,FALSE)="X",Calculator!AL21/7,AVERAGE(AK21/7,AL21/7)))</f>
        <v>45.833333333333329</v>
      </c>
      <c r="AG21" s="4" t="str">
        <f>IF(AND($C$4=$A21,AG$3&lt;&gt;""),AG$3,'EBA2017'!AG21)</f>
        <v>N/A</v>
      </c>
      <c r="AH21" s="4">
        <f>IF(AND($C$4=$A21,AH$3&lt;&gt;""),AH$3,'EBA2017'!AH21)</f>
        <v>3.75</v>
      </c>
      <c r="AI21" s="4">
        <f>IF(AND($C$4=$A21,AI$3&lt;&gt;""),AI$3,'EBA2017'!AI21)</f>
        <v>0</v>
      </c>
      <c r="AJ21" s="4">
        <f>IF(AND($C$4=$A21,AJ$3&lt;&gt;""),AJ$3,'EBA2017'!AJ21)</f>
        <v>7</v>
      </c>
      <c r="AK21" s="4" t="str">
        <f>IF(AND($C$4=$A21,AK$3&lt;&gt;""),AK$3,'EBA2017'!AK21)</f>
        <v>N/A</v>
      </c>
      <c r="AL21" s="4">
        <f>IF(AND($C$4=$A21,AL$3&lt;&gt;""),AL$3,'EBA2017'!AL21)</f>
        <v>0</v>
      </c>
      <c r="AM21" s="30">
        <f t="shared" si="5"/>
        <v>6</v>
      </c>
      <c r="AN21" s="31">
        <f>VLOOKUP($A21,'Mark Base Calc'!$A:$Z,21,FALSE)</f>
        <v>78.819444444444443</v>
      </c>
      <c r="AO21" s="4">
        <f>IF(AND($C$4=$A21,AO$3&lt;&gt;""),AO$3,'EBA2017'!AO21)</f>
        <v>6.5</v>
      </c>
      <c r="AP21" s="4">
        <f>IF(AND($C$4=$A21,AP$3&lt;&gt;""),AP$3,'EBA2017'!AP21)</f>
        <v>7</v>
      </c>
      <c r="AQ21" s="4">
        <f>IF(AND($C$4=$A21,AQ$3&lt;&gt;""),AQ$3,'EBA2017'!AQ21)</f>
        <v>7</v>
      </c>
      <c r="AR21" s="12">
        <f>IF(AND($C$4=$A21,AR$3&lt;&gt;""),AR$3,'EBA2017'!AR21)</f>
        <v>0</v>
      </c>
      <c r="AS21" s="12">
        <f>IF(AND($C$4=$A21,AS$3&lt;&gt;""),AS$3,'EBA2017'!AS21)</f>
        <v>0</v>
      </c>
      <c r="AT21" s="4">
        <f>IF(AND($C$4=$A21,AT$3&lt;&gt;""),AT$3,'EBA2017'!AT21)</f>
        <v>0</v>
      </c>
      <c r="AU21" s="30">
        <f t="shared" si="6"/>
        <v>3</v>
      </c>
      <c r="AV21" s="31">
        <f t="shared" si="7"/>
        <v>88.888536729665233</v>
      </c>
      <c r="AW21" s="4">
        <f>IF(AND($C$4=$A21,AW$3&lt;&gt;""),AW$3,'EBA2017'!AW21)</f>
        <v>10.83333333333333</v>
      </c>
      <c r="AX21" s="4">
        <f>IF(AND($C$4=$A21,AX$3&lt;&gt;""),AX$3,'EBA2017'!AX21)</f>
        <v>30</v>
      </c>
      <c r="AY21" s="4">
        <f>IF(AND($C$4=$A21,AY$3&lt;&gt;""),AY$3,'EBA2017'!AY21)</f>
        <v>0</v>
      </c>
      <c r="AZ21" s="4">
        <f>IF(AND($C$4=$A21,AZ$3&lt;&gt;""),AZ$3,'EBA2017'!AZ21)</f>
        <v>9</v>
      </c>
      <c r="BA21" s="12">
        <f>IF(AND($C$4=$A21,BA$3&lt;&gt;""),BA$3,'EBA2017'!BA21)</f>
        <v>30</v>
      </c>
      <c r="BB21" s="4">
        <f>IF(AND($C$4=$A21,BB$3&lt;&gt;""),BB$3,'EBA2017'!BB21)</f>
        <v>0</v>
      </c>
      <c r="BC21" s="30">
        <f t="shared" si="8"/>
        <v>24</v>
      </c>
      <c r="BD21" s="31">
        <f t="shared" si="9"/>
        <v>60.90517241379311</v>
      </c>
      <c r="BE21" s="4">
        <f>IF(AND($C$4=$A21,BE$3&lt;&gt;""),BE$3,'EBA2017'!BE21)</f>
        <v>23</v>
      </c>
      <c r="BF21" s="4">
        <f>IF(AND($C$4=$A21,BF$3&lt;&gt;""),BF$3,'EBA2017'!BF21)</f>
        <v>8.5</v>
      </c>
      <c r="BG21" s="30">
        <f t="shared" si="10"/>
        <v>6</v>
      </c>
      <c r="BH21" s="31">
        <f t="shared" si="11"/>
        <v>94.444444444444443</v>
      </c>
      <c r="BI21" s="4">
        <f>IF(AND($C$4=$A21,BI$3&lt;&gt;""),BI$3,'EBA2017'!BI21)</f>
        <v>8.5</v>
      </c>
    </row>
    <row r="22" spans="1:61" x14ac:dyDescent="0.2">
      <c r="A22" s="2" t="s">
        <v>47</v>
      </c>
      <c r="B22" s="3" t="s">
        <v>48</v>
      </c>
      <c r="C22" s="3" t="s">
        <v>49</v>
      </c>
      <c r="D22" s="3" t="s">
        <v>50</v>
      </c>
      <c r="E22" s="3" t="s">
        <v>9</v>
      </c>
      <c r="F22" s="3" t="s">
        <v>159</v>
      </c>
      <c r="G22" s="3" t="s">
        <v>158</v>
      </c>
      <c r="H22" s="30">
        <f t="shared" si="1"/>
        <v>37</v>
      </c>
      <c r="I22" s="31">
        <f>VLOOKUP($A22,'Seed Base Calc'!$A:$S,19,FALSE)</f>
        <v>52.571616924324097</v>
      </c>
      <c r="J22" s="4">
        <f>IF(AND($C$4=$A22,J$3&lt;&gt;""),J$3,'EBA2017'!J22)</f>
        <v>8</v>
      </c>
      <c r="K22" s="4">
        <f>IF(AND($C$4=$A22,K$3&lt;&gt;""),K$3,'EBA2017'!K22)</f>
        <v>5</v>
      </c>
      <c r="L22" s="4">
        <f>IF(AND($C$4=$A22,L$3&lt;&gt;""),L$3,'EBA2017'!L22)</f>
        <v>2</v>
      </c>
      <c r="M22" s="12">
        <f>IF(AND($C$4=$A22,M$3&lt;&gt;""),M$3,'EBA2017'!M22)</f>
        <v>599</v>
      </c>
      <c r="N22" s="4">
        <f>IF(AND($C$4=$A22,N$3&lt;&gt;""),N$3,'EBA2017'!N22)</f>
        <v>184.28918503721331</v>
      </c>
      <c r="O22" s="30">
        <f t="shared" si="2"/>
        <v>33</v>
      </c>
      <c r="P22" s="31">
        <f>VLOOKUP($A22,'Fert Base Calc'!$A:$S,19,FALSE)</f>
        <v>56.762763441587957</v>
      </c>
      <c r="Q22" s="4">
        <f>IF(AND($C$4=$A22,Q$3&lt;&gt;""),Q$3,'EBA2017'!Q22)</f>
        <v>4.4000000000000004</v>
      </c>
      <c r="R22" s="4">
        <f>IF(AND($C$4=$A22,R$3&lt;&gt;""),R$3,'EBA2017'!R22)</f>
        <v>1.5</v>
      </c>
      <c r="S22" s="4">
        <f>IF(AND($C$4=$A22,S$3&lt;&gt;""),S$3,'EBA2017'!S22)</f>
        <v>3</v>
      </c>
      <c r="T22" s="12">
        <f>IF(AND($C$4=$A22,T$3&lt;&gt;""),T$3,'EBA2017'!T22)</f>
        <v>314</v>
      </c>
      <c r="U22" s="4">
        <f>IF(AND($C$4=$A22,U$3&lt;&gt;""),U$3,'EBA2017'!U22)</f>
        <v>19.772693811284348</v>
      </c>
      <c r="V22" s="30">
        <f t="shared" si="3"/>
        <v>26</v>
      </c>
      <c r="W22" s="31">
        <f>VLOOKUP($A22,'Mech Base Calc'!$A:$Z,24,FALSE)</f>
        <v>55.320533729176901</v>
      </c>
      <c r="X22" s="4">
        <f>IF(AND($C$4=$A22,X$3&lt;&gt;""),X$3,'EBA2017'!X22)</f>
        <v>4</v>
      </c>
      <c r="Y22" s="4">
        <f>IF(AND($C$4=$A22,Y$3&lt;&gt;""),Y$3,'EBA2017'!Y22)</f>
        <v>2.3333333333333335</v>
      </c>
      <c r="Z22" s="4">
        <f>IF(AND($C$4=$A22,Z$3&lt;&gt;""),Z$3,'EBA2017'!Z22)</f>
        <v>2</v>
      </c>
      <c r="AA22" s="12" t="str">
        <f>IF(AND($C$4=$A22,AA$3&lt;&gt;""),AA$3,'EBA2017'!AA22)</f>
        <v>N/A</v>
      </c>
      <c r="AB22" s="4" t="str">
        <f>IF(AND($C$4=$A22,AB$3&lt;&gt;""),AB$3,'EBA2017'!AB22)</f>
        <v>N/A</v>
      </c>
      <c r="AC22" s="12">
        <f>IF(AND($C$4=$A22,AC$3&lt;&gt;""),AC$3,'EBA2017'!AC22)</f>
        <v>1</v>
      </c>
      <c r="AD22" s="4">
        <f>IF(AND($C$4=$A22,AD$3&lt;&gt;""),AD$3,'EBA2017'!AD22)</f>
        <v>1.9196790108043058</v>
      </c>
      <c r="AE22" s="30">
        <f t="shared" si="4"/>
        <v>56</v>
      </c>
      <c r="AF22" s="31">
        <f>100*AVERAGE(IF(VLOOKUP(A22,'Data Gaps'!A:O,15,FALSE)="X",Calculator!AH22/4,AVERAGE(AG22/5,AH22/4)),AVERAGE(AI22/5,AJ22/8),IF(VLOOKUP(A22,'Data Gaps'!A:O,15,FALSE)="X",Calculator!AL22/7,AVERAGE(AK22/7,AL22/7)))</f>
        <v>29.642857142857142</v>
      </c>
      <c r="AG22" s="4">
        <f>IF(AND($C$4=$A22,AG$3&lt;&gt;""),AG$3,'EBA2017'!AG22)</f>
        <v>0</v>
      </c>
      <c r="AH22" s="4">
        <f>IF(AND($C$4=$A22,AH$3&lt;&gt;""),AH$3,'EBA2017'!AH22)</f>
        <v>1</v>
      </c>
      <c r="AI22" s="4">
        <f>IF(AND($C$4=$A22,AI$3&lt;&gt;""),AI$3,'EBA2017'!AI22)</f>
        <v>3</v>
      </c>
      <c r="AJ22" s="4">
        <f>IF(AND($C$4=$A22,AJ$3&lt;&gt;""),AJ$3,'EBA2017'!AJ22)</f>
        <v>4</v>
      </c>
      <c r="AK22" s="4">
        <f>IF(AND($C$4=$A22,AK$3&lt;&gt;""),AK$3,'EBA2017'!AK22)</f>
        <v>0</v>
      </c>
      <c r="AL22" s="4">
        <f>IF(AND($C$4=$A22,AL$3&lt;&gt;""),AL$3,'EBA2017'!AL22)</f>
        <v>3</v>
      </c>
      <c r="AM22" s="30">
        <f t="shared" si="5"/>
        <v>49</v>
      </c>
      <c r="AN22" s="31">
        <f>VLOOKUP($A22,'Mark Base Calc'!$A:$Z,21,FALSE)</f>
        <v>47.340229682468646</v>
      </c>
      <c r="AO22" s="4">
        <f>IF(AND($C$4=$A22,AO$3&lt;&gt;""),AO$3,'EBA2017'!AO22)</f>
        <v>6.5</v>
      </c>
      <c r="AP22" s="4">
        <f>IF(AND($C$4=$A22,AP$3&lt;&gt;""),AP$3,'EBA2017'!AP22)</f>
        <v>1.5</v>
      </c>
      <c r="AQ22" s="4">
        <f>IF(AND($C$4=$A22,AQ$3&lt;&gt;""),AQ$3,'EBA2017'!AQ22)</f>
        <v>5</v>
      </c>
      <c r="AR22" s="12">
        <f>IF(AND($C$4=$A22,AR$3&lt;&gt;""),AR$3,'EBA2017'!AR22)</f>
        <v>1</v>
      </c>
      <c r="AS22" s="12">
        <f>IF(AND($C$4=$A22,AS$3&lt;&gt;""),AS$3,'EBA2017'!AS22)</f>
        <v>2</v>
      </c>
      <c r="AT22" s="4">
        <f>IF(AND($C$4=$A22,AT$3&lt;&gt;""),AT$3,'EBA2017'!AT22)</f>
        <v>4.3192777743096871</v>
      </c>
      <c r="AU22" s="30">
        <f t="shared" si="6"/>
        <v>61</v>
      </c>
      <c r="AV22" s="31">
        <f t="shared" si="7"/>
        <v>13.383838383838384</v>
      </c>
      <c r="AW22" s="4">
        <f>IF(AND($C$4=$A22,AW$3&lt;&gt;""),AW$3,'EBA2017'!AW22)</f>
        <v>1.0000000000000002</v>
      </c>
      <c r="AX22" s="4" t="str">
        <f>IF(AND($C$4=$A22,AX$3&lt;&gt;""),AX$3,'EBA2017'!AX22)</f>
        <v>N/A</v>
      </c>
      <c r="AY22" s="4" t="str">
        <f>IF(AND($C$4=$A22,AY$3&lt;&gt;""),AY$3,'EBA2017'!AY22)</f>
        <v>N/A</v>
      </c>
      <c r="AZ22" s="4">
        <f>IF(AND($C$4=$A22,AZ$3&lt;&gt;""),AZ$3,'EBA2017'!AZ22)</f>
        <v>4</v>
      </c>
      <c r="BA22" s="12" t="str">
        <f>IF(AND($C$4=$A22,BA$3&lt;&gt;""),BA$3,'EBA2017'!BA22)</f>
        <v>N/A</v>
      </c>
      <c r="BB22" s="4" t="str">
        <f>IF(AND($C$4=$A22,BB$3&lt;&gt;""),BB$3,'EBA2017'!BB22)</f>
        <v>N/A</v>
      </c>
      <c r="BC22" s="30">
        <f t="shared" si="8"/>
        <v>55</v>
      </c>
      <c r="BD22" s="31">
        <f t="shared" si="9"/>
        <v>15.948275862068966</v>
      </c>
      <c r="BE22" s="4">
        <f>IF(AND($C$4=$A22,BE$3&lt;&gt;""),BE$3,'EBA2017'!BE22)</f>
        <v>2</v>
      </c>
      <c r="BF22" s="4">
        <f>IF(AND($C$4=$A22,BF$3&lt;&gt;""),BF$3,'EBA2017'!BF22)</f>
        <v>5</v>
      </c>
      <c r="BG22" s="30">
        <f t="shared" si="10"/>
        <v>57</v>
      </c>
      <c r="BH22" s="31">
        <f t="shared" si="11"/>
        <v>33.333333333333329</v>
      </c>
      <c r="BI22" s="4">
        <f>IF(AND($C$4=$A22,BI$3&lt;&gt;""),BI$3,'EBA2017'!BI22)</f>
        <v>2.9999999999999996</v>
      </c>
    </row>
    <row r="23" spans="1:61" x14ac:dyDescent="0.2">
      <c r="A23" s="2" t="s">
        <v>51</v>
      </c>
      <c r="B23" s="3" t="s">
        <v>52</v>
      </c>
      <c r="C23" s="3" t="s">
        <v>16</v>
      </c>
      <c r="D23" s="3" t="s">
        <v>17</v>
      </c>
      <c r="E23" s="3" t="s">
        <v>18</v>
      </c>
      <c r="F23" s="3" t="s">
        <v>160</v>
      </c>
      <c r="G23" s="3" t="s">
        <v>158</v>
      </c>
      <c r="H23" s="30">
        <f t="shared" si="1"/>
        <v>39</v>
      </c>
      <c r="I23" s="31">
        <f>VLOOKUP($A23,'Seed Base Calc'!$A:$S,19,FALSE)</f>
        <v>51.071298728150182</v>
      </c>
      <c r="J23" s="4">
        <f>IF(AND($C$4=$A23,J$3&lt;&gt;""),J$3,'EBA2017'!J23)</f>
        <v>6</v>
      </c>
      <c r="K23" s="4">
        <f>IF(AND($C$4=$A23,K$3&lt;&gt;""),K$3,'EBA2017'!K23)</f>
        <v>4.5</v>
      </c>
      <c r="L23" s="4">
        <f>IF(AND($C$4=$A23,L$3&lt;&gt;""),L$3,'EBA2017'!L23)</f>
        <v>4</v>
      </c>
      <c r="M23" s="12">
        <f>IF(AND($C$4=$A23,M$3&lt;&gt;""),M$3,'EBA2017'!M23)</f>
        <v>620</v>
      </c>
      <c r="N23" s="4">
        <f>IF(AND($C$4=$A23,N$3&lt;&gt;""),N$3,'EBA2017'!N23)</f>
        <v>77.778777683273688</v>
      </c>
      <c r="O23" s="30">
        <f t="shared" si="2"/>
        <v>59</v>
      </c>
      <c r="P23" s="31">
        <f>VLOOKUP($A23,'Fert Base Calc'!$A:$S,19,FALSE)</f>
        <v>19.642857142857146</v>
      </c>
      <c r="Q23" s="4">
        <f>IF(AND($C$4=$A23,Q$3&lt;&gt;""),Q$3,'EBA2017'!Q23)</f>
        <v>1</v>
      </c>
      <c r="R23" s="4">
        <f>IF(AND($C$4=$A23,R$3&lt;&gt;""),R$3,'EBA2017'!R23)</f>
        <v>4.5000000000000009</v>
      </c>
      <c r="S23" s="4">
        <f>IF(AND($C$4=$A23,S$3&lt;&gt;""),S$3,'EBA2017'!S23)</f>
        <v>0</v>
      </c>
      <c r="T23" s="12" t="str">
        <f>IF(AND($C$4=$A23,T$3&lt;&gt;""),T$3,'EBA2017'!T23)</f>
        <v>N/A</v>
      </c>
      <c r="U23" s="4" t="str">
        <f>IF(AND($C$4=$A23,U$3&lt;&gt;""),U$3,'EBA2017'!U23)</f>
        <v>N/A</v>
      </c>
      <c r="V23" s="30">
        <f t="shared" si="3"/>
        <v>25</v>
      </c>
      <c r="W23" s="31">
        <f>VLOOKUP($A23,'Mech Base Calc'!$A:$Z,24,FALSE)</f>
        <v>55.951131120970807</v>
      </c>
      <c r="X23" s="4">
        <f>IF(AND($C$4=$A23,X$3&lt;&gt;""),X$3,'EBA2017'!X23)</f>
        <v>3.5</v>
      </c>
      <c r="Y23" s="4">
        <f>IF(AND($C$4=$A23,Y$3&lt;&gt;""),Y$3,'EBA2017'!Y23)</f>
        <v>4.333333333333333</v>
      </c>
      <c r="Z23" s="4">
        <f>IF(AND($C$4=$A23,Z$3&lt;&gt;""),Z$3,'EBA2017'!Z23)</f>
        <v>3</v>
      </c>
      <c r="AA23" s="12" t="str">
        <f>IF(AND($C$4=$A23,AA$3&lt;&gt;""),AA$3,'EBA2017'!AA23)</f>
        <v>No practice</v>
      </c>
      <c r="AB23" s="4" t="str">
        <f>IF(AND($C$4=$A23,AB$3&lt;&gt;""),AB$3,'EBA2017'!AB23)</f>
        <v>No practice</v>
      </c>
      <c r="AC23" s="12">
        <f>IF(AND($C$4=$A23,AC$3&lt;&gt;""),AC$3,'EBA2017'!AC23)</f>
        <v>2</v>
      </c>
      <c r="AD23" s="4">
        <f>IF(AND($C$4=$A23,AD$3&lt;&gt;""),AD$3,'EBA2017'!AD23)</f>
        <v>1.8634498819950984</v>
      </c>
      <c r="AE23" s="30">
        <f t="shared" si="4"/>
        <v>27</v>
      </c>
      <c r="AF23" s="31">
        <f>100*AVERAGE(IF(VLOOKUP(A23,'Data Gaps'!A:O,15,FALSE)="X",Calculator!AH23/4,AVERAGE(AG23/5,AH23/4)),AVERAGE(AI23/5,AJ23/8),IF(VLOOKUP(A23,'Data Gaps'!A:O,15,FALSE)="X",Calculator!AL23/7,AVERAGE(AK23/7,AL23/7)))</f>
        <v>52.964285714285722</v>
      </c>
      <c r="AG23" s="4">
        <f>IF(AND($C$4=$A23,AG$3&lt;&gt;""),AG$3,'EBA2017'!AG23)</f>
        <v>4.55</v>
      </c>
      <c r="AH23" s="4">
        <f>IF(AND($C$4=$A23,AH$3&lt;&gt;""),AH$3,'EBA2017'!AH23)</f>
        <v>0</v>
      </c>
      <c r="AI23" s="4">
        <f>IF(AND($C$4=$A23,AI$3&lt;&gt;""),AI$3,'EBA2017'!AI23)</f>
        <v>5</v>
      </c>
      <c r="AJ23" s="4">
        <f>IF(AND($C$4=$A23,AJ$3&lt;&gt;""),AJ$3,'EBA2017'!AJ23)</f>
        <v>1</v>
      </c>
      <c r="AK23" s="4">
        <f>IF(AND($C$4=$A23,AK$3&lt;&gt;""),AK$3,'EBA2017'!AK23)</f>
        <v>4</v>
      </c>
      <c r="AL23" s="4">
        <f>IF(AND($C$4=$A23,AL$3&lt;&gt;""),AL$3,'EBA2017'!AL23)</f>
        <v>4</v>
      </c>
      <c r="AM23" s="30">
        <f t="shared" si="5"/>
        <v>51</v>
      </c>
      <c r="AN23" s="31">
        <f>VLOOKUP($A23,'Mark Base Calc'!$A:$Z,21,FALSE)</f>
        <v>45.686850524241542</v>
      </c>
      <c r="AO23" s="4">
        <f>IF(AND($C$4=$A23,AO$3&lt;&gt;""),AO$3,'EBA2017'!AO23)</f>
        <v>10.55</v>
      </c>
      <c r="AP23" s="4">
        <f>IF(AND($C$4=$A23,AP$3&lt;&gt;""),AP$3,'EBA2017'!AP23)</f>
        <v>1</v>
      </c>
      <c r="AQ23" s="4">
        <f>IF(AND($C$4=$A23,AQ$3&lt;&gt;""),AQ$3,'EBA2017'!AQ23)</f>
        <v>3.5</v>
      </c>
      <c r="AR23" s="12">
        <f>IF(AND($C$4=$A23,AR$3&lt;&gt;""),AR$3,'EBA2017'!AR23)</f>
        <v>3</v>
      </c>
      <c r="AS23" s="12">
        <f>IF(AND($C$4=$A23,AS$3&lt;&gt;""),AS$3,'EBA2017'!AS23)</f>
        <v>3</v>
      </c>
      <c r="AT23" s="4">
        <f>IF(AND($C$4=$A23,AT$3&lt;&gt;""),AT$3,'EBA2017'!AT23)</f>
        <v>2.4670456046413367</v>
      </c>
      <c r="AU23" s="30">
        <f t="shared" si="6"/>
        <v>21</v>
      </c>
      <c r="AV23" s="31">
        <f t="shared" si="7"/>
        <v>66.893206561693447</v>
      </c>
      <c r="AW23" s="4">
        <f>IF(AND($C$4=$A23,AW$3&lt;&gt;""),AW$3,'EBA2017'!AW23)</f>
        <v>4.0000000000000009</v>
      </c>
      <c r="AX23" s="4">
        <f>IF(AND($C$4=$A23,AX$3&lt;&gt;""),AX$3,'EBA2017'!AX23)</f>
        <v>1</v>
      </c>
      <c r="AY23" s="4">
        <f>IF(AND($C$4=$A23,AY$3&lt;&gt;""),AY$3,'EBA2017'!AY23)</f>
        <v>5.5093300858985517</v>
      </c>
      <c r="AZ23" s="4">
        <f>IF(AND($C$4=$A23,AZ$3&lt;&gt;""),AZ$3,'EBA2017'!AZ23)</f>
        <v>4</v>
      </c>
      <c r="BA23" s="12">
        <f>IF(AND($C$4=$A23,BA$3&lt;&gt;""),BA$3,'EBA2017'!BA23)</f>
        <v>1</v>
      </c>
      <c r="BB23" s="4">
        <f>IF(AND($C$4=$A23,BB$3&lt;&gt;""),BB$3,'EBA2017'!BB23)</f>
        <v>5.5093300858985517</v>
      </c>
      <c r="BC23" s="30">
        <f t="shared" si="8"/>
        <v>34</v>
      </c>
      <c r="BD23" s="31">
        <f t="shared" si="9"/>
        <v>46.939655172413794</v>
      </c>
      <c r="BE23" s="4">
        <f>IF(AND($C$4=$A23,BE$3&lt;&gt;""),BE$3,'EBA2017'!BE23)</f>
        <v>12</v>
      </c>
      <c r="BF23" s="4">
        <f>IF(AND($C$4=$A23,BF$3&lt;&gt;""),BF$3,'EBA2017'!BF23)</f>
        <v>10.5</v>
      </c>
      <c r="BG23" s="30">
        <f t="shared" si="10"/>
        <v>62</v>
      </c>
      <c r="BH23" s="31">
        <f t="shared" si="11"/>
        <v>11.111111111111111</v>
      </c>
      <c r="BI23" s="4">
        <f>IF(AND($C$4=$A23,BI$3&lt;&gt;""),BI$3,'EBA2017'!BI23)</f>
        <v>1</v>
      </c>
    </row>
    <row r="24" spans="1:61" x14ac:dyDescent="0.2">
      <c r="A24" s="2" t="s">
        <v>53</v>
      </c>
      <c r="B24" s="3" t="s">
        <v>54</v>
      </c>
      <c r="C24" s="3" t="s">
        <v>7</v>
      </c>
      <c r="D24" s="3" t="s">
        <v>8</v>
      </c>
      <c r="E24" s="3" t="s">
        <v>25</v>
      </c>
      <c r="F24" s="3" t="s">
        <v>162</v>
      </c>
      <c r="G24" s="3" t="s">
        <v>163</v>
      </c>
      <c r="H24" s="30">
        <f t="shared" si="1"/>
        <v>13</v>
      </c>
      <c r="I24" s="31">
        <f>VLOOKUP($A24,'Seed Base Calc'!$A:$S,19,FALSE)</f>
        <v>71.416088580576314</v>
      </c>
      <c r="J24" s="4">
        <f>IF(AND($C$4=$A24,J$3&lt;&gt;""),J$3,'EBA2017'!J24)</f>
        <v>9</v>
      </c>
      <c r="K24" s="4">
        <f>IF(AND($C$4=$A24,K$3&lt;&gt;""),K$3,'EBA2017'!K24)</f>
        <v>7</v>
      </c>
      <c r="L24" s="4">
        <f>IF(AND($C$4=$A24,L$3&lt;&gt;""),L$3,'EBA2017'!L24)</f>
        <v>4</v>
      </c>
      <c r="M24" s="12">
        <f>IF(AND($C$4=$A24,M$3&lt;&gt;""),M$3,'EBA2017'!M24)</f>
        <v>581</v>
      </c>
      <c r="N24" s="4">
        <f>IF(AND($C$4=$A24,N$3&lt;&gt;""),N$3,'EBA2017'!N24)</f>
        <v>0</v>
      </c>
      <c r="O24" s="30">
        <f t="shared" si="2"/>
        <v>20</v>
      </c>
      <c r="P24" s="31">
        <f>VLOOKUP($A24,'Fert Base Calc'!$A:$S,19,FALSE)</f>
        <v>68.436608744430259</v>
      </c>
      <c r="Q24" s="4">
        <f>IF(AND($C$4=$A24,Q$3&lt;&gt;""),Q$3,'EBA2017'!Q24)</f>
        <v>4.4000000000000004</v>
      </c>
      <c r="R24" s="4">
        <f>IF(AND($C$4=$A24,R$3&lt;&gt;""),R$3,'EBA2017'!R24)</f>
        <v>4.5000000000000009</v>
      </c>
      <c r="S24" s="4">
        <f>IF(AND($C$4=$A24,S$3&lt;&gt;""),S$3,'EBA2017'!S24)</f>
        <v>6</v>
      </c>
      <c r="T24" s="12">
        <f>IF(AND($C$4=$A24,T$3&lt;&gt;""),T$3,'EBA2017'!T24)</f>
        <v>730</v>
      </c>
      <c r="U24" s="4">
        <f>IF(AND($C$4=$A24,U$3&lt;&gt;""),U$3,'EBA2017'!U24)</f>
        <v>16.707331007033982</v>
      </c>
      <c r="V24" s="30">
        <f t="shared" si="3"/>
        <v>42</v>
      </c>
      <c r="W24" s="31">
        <f>VLOOKUP($A24,'Mech Base Calc'!$A:$Z,24,FALSE)</f>
        <v>41.806390363828214</v>
      </c>
      <c r="X24" s="4">
        <f>IF(AND($C$4=$A24,X$3&lt;&gt;""),X$3,'EBA2017'!X24)</f>
        <v>0.5</v>
      </c>
      <c r="Y24" s="4">
        <f>IF(AND($C$4=$A24,Y$3&lt;&gt;""),Y$3,'EBA2017'!Y24)</f>
        <v>0</v>
      </c>
      <c r="Z24" s="4">
        <f>IF(AND($C$4=$A24,Z$3&lt;&gt;""),Z$3,'EBA2017'!Z24)</f>
        <v>5</v>
      </c>
      <c r="AA24" s="12" t="str">
        <f>IF(AND($C$4=$A24,AA$3&lt;&gt;""),AA$3,'EBA2017'!AA24)</f>
        <v>N/A</v>
      </c>
      <c r="AB24" s="4" t="str">
        <f>IF(AND($C$4=$A24,AB$3&lt;&gt;""),AB$3,'EBA2017'!AB24)</f>
        <v>N/A</v>
      </c>
      <c r="AC24" s="12">
        <f>IF(AND($C$4=$A24,AC$3&lt;&gt;""),AC$3,'EBA2017'!AC24)</f>
        <v>1</v>
      </c>
      <c r="AD24" s="4">
        <f>IF(AND($C$4=$A24,AD$3&lt;&gt;""),AD$3,'EBA2017'!AD24)</f>
        <v>0.73989608745436197</v>
      </c>
      <c r="AE24" s="30">
        <f t="shared" si="4"/>
        <v>39</v>
      </c>
      <c r="AF24" s="31">
        <f>100*AVERAGE(IF(VLOOKUP(A24,'Data Gaps'!A:O,15,FALSE)="X",Calculator!AH24/4,AVERAGE(AG24/5,AH24/4)),AVERAGE(AI24/5,AJ24/8),IF(VLOOKUP(A24,'Data Gaps'!A:O,15,FALSE)="X",Calculator!AL24/7,AVERAGE(AK24/7,AL24/7)))</f>
        <v>44.107142857142854</v>
      </c>
      <c r="AG24" s="4">
        <f>IF(AND($C$4=$A24,AG$3&lt;&gt;""),AG$3,'EBA2017'!AG24)</f>
        <v>0</v>
      </c>
      <c r="AH24" s="4">
        <f>IF(AND($C$4=$A24,AH$3&lt;&gt;""),AH$3,'EBA2017'!AH24)</f>
        <v>2</v>
      </c>
      <c r="AI24" s="4">
        <f>IF(AND($C$4=$A24,AI$3&lt;&gt;""),AI$3,'EBA2017'!AI24)</f>
        <v>3.5</v>
      </c>
      <c r="AJ24" s="4">
        <f>IF(AND($C$4=$A24,AJ$3&lt;&gt;""),AJ$3,'EBA2017'!AJ24)</f>
        <v>7</v>
      </c>
      <c r="AK24" s="4">
        <f>IF(AND($C$4=$A24,AK$3&lt;&gt;""),AK$3,'EBA2017'!AK24)</f>
        <v>0</v>
      </c>
      <c r="AL24" s="4">
        <f>IF(AND($C$4=$A24,AL$3&lt;&gt;""),AL$3,'EBA2017'!AL24)</f>
        <v>4</v>
      </c>
      <c r="AM24" s="30">
        <f t="shared" si="5"/>
        <v>19</v>
      </c>
      <c r="AN24" s="31">
        <f>VLOOKUP($A24,'Mark Base Calc'!$A:$Z,21,FALSE)</f>
        <v>67.912202406854718</v>
      </c>
      <c r="AO24" s="4">
        <f>IF(AND($C$4=$A24,AO$3&lt;&gt;""),AO$3,'EBA2017'!AO24)</f>
        <v>6.5</v>
      </c>
      <c r="AP24" s="4">
        <f>IF(AND($C$4=$A24,AP$3&lt;&gt;""),AP$3,'EBA2017'!AP24)</f>
        <v>5.5</v>
      </c>
      <c r="AQ24" s="4">
        <f>IF(AND($C$4=$A24,AQ$3&lt;&gt;""),AQ$3,'EBA2017'!AQ24)</f>
        <v>6.5</v>
      </c>
      <c r="AR24" s="12">
        <f>IF(AND($C$4=$A24,AR$3&lt;&gt;""),AR$3,'EBA2017'!AR24)</f>
        <v>1</v>
      </c>
      <c r="AS24" s="12">
        <f>IF(AND($C$4=$A24,AS$3&lt;&gt;""),AS$3,'EBA2017'!AS24)</f>
        <v>3</v>
      </c>
      <c r="AT24" s="4">
        <f>IF(AND($C$4=$A24,AT$3&lt;&gt;""),AT$3,'EBA2017'!AT24)</f>
        <v>0.29834519655417824</v>
      </c>
      <c r="AU24" s="30">
        <f t="shared" si="6"/>
        <v>37</v>
      </c>
      <c r="AV24" s="31">
        <f t="shared" si="7"/>
        <v>48.49904751434029</v>
      </c>
      <c r="AW24" s="4">
        <f>IF(AND($C$4=$A24,AW$3&lt;&gt;""),AW$3,'EBA2017'!AW24)</f>
        <v>2.0000000000000004</v>
      </c>
      <c r="AX24" s="4" t="str">
        <f>IF(AND($C$4=$A24,AX$3&lt;&gt;""),AX$3,'EBA2017'!AX24)</f>
        <v>N/A</v>
      </c>
      <c r="AY24" s="4" t="str">
        <f>IF(AND($C$4=$A24,AY$3&lt;&gt;""),AY$3,'EBA2017'!AY24)</f>
        <v>N/A</v>
      </c>
      <c r="AZ24" s="4">
        <f>IF(AND($C$4=$A24,AZ$3&lt;&gt;""),AZ$3,'EBA2017'!AZ24)</f>
        <v>7.0000000000000009</v>
      </c>
      <c r="BA24" s="12">
        <f>IF(AND($C$4=$A24,BA$3&lt;&gt;""),BA$3,'EBA2017'!BA24)</f>
        <v>2.5</v>
      </c>
      <c r="BB24" s="4">
        <f>IF(AND($C$4=$A24,BB$3&lt;&gt;""),BB$3,'EBA2017'!BB24)</f>
        <v>0.83536655035169904</v>
      </c>
      <c r="BC24" s="30">
        <f t="shared" si="8"/>
        <v>48</v>
      </c>
      <c r="BD24" s="31">
        <f t="shared" si="9"/>
        <v>29.827586206896552</v>
      </c>
      <c r="BE24" s="4">
        <f>IF(AND($C$4=$A24,BE$3&lt;&gt;""),BE$3,'EBA2017'!BE24)</f>
        <v>11.5</v>
      </c>
      <c r="BF24" s="4">
        <f>IF(AND($C$4=$A24,BF$3&lt;&gt;""),BF$3,'EBA2017'!BF24)</f>
        <v>4</v>
      </c>
      <c r="BG24" s="30">
        <f t="shared" si="10"/>
        <v>6</v>
      </c>
      <c r="BH24" s="31">
        <f t="shared" si="11"/>
        <v>94.444444444444443</v>
      </c>
      <c r="BI24" s="4">
        <f>IF(AND($C$4=$A24,BI$3&lt;&gt;""),BI$3,'EBA2017'!BI24)</f>
        <v>8.5</v>
      </c>
    </row>
    <row r="25" spans="1:61" x14ac:dyDescent="0.2">
      <c r="A25" s="2" t="s">
        <v>55</v>
      </c>
      <c r="B25" s="3" t="s">
        <v>56</v>
      </c>
      <c r="C25" s="3" t="s">
        <v>16</v>
      </c>
      <c r="D25" s="3" t="s">
        <v>17</v>
      </c>
      <c r="E25" s="3" t="s">
        <v>9</v>
      </c>
      <c r="F25" s="3" t="s">
        <v>160</v>
      </c>
      <c r="G25" s="3" t="s">
        <v>158</v>
      </c>
      <c r="H25" s="30">
        <f t="shared" si="1"/>
        <v>48</v>
      </c>
      <c r="I25" s="31">
        <f>VLOOKUP($A25,'Seed Base Calc'!$A:$S,19,FALSE)</f>
        <v>46.458333333333336</v>
      </c>
      <c r="J25" s="4">
        <f>IF(AND($C$4=$A25,J$3&lt;&gt;""),J$3,'EBA2017'!J25)</f>
        <v>4</v>
      </c>
      <c r="K25" s="4">
        <f>IF(AND($C$4=$A25,K$3&lt;&gt;""),K$3,'EBA2017'!K25)</f>
        <v>6</v>
      </c>
      <c r="L25" s="4">
        <f>IF(AND($C$4=$A25,L$3&lt;&gt;""),L$3,'EBA2017'!L25)</f>
        <v>8.5</v>
      </c>
      <c r="M25" s="12">
        <f>IF(AND($C$4=$A25,M$3&lt;&gt;""),M$3,'EBA2017'!M25)</f>
        <v>757</v>
      </c>
      <c r="N25" s="4">
        <f>IF(AND($C$4=$A25,N$3&lt;&gt;""),N$3,'EBA2017'!N25)</f>
        <v>1091.6197014380564</v>
      </c>
      <c r="O25" s="30">
        <f t="shared" si="2"/>
        <v>34</v>
      </c>
      <c r="P25" s="31">
        <f>VLOOKUP($A25,'Fert Base Calc'!$A:$S,19,FALSE)</f>
        <v>55.440325384058198</v>
      </c>
      <c r="Q25" s="4">
        <f>IF(AND($C$4=$A25,Q$3&lt;&gt;""),Q$3,'EBA2017'!Q25)</f>
        <v>3.4</v>
      </c>
      <c r="R25" s="4">
        <f>IF(AND($C$4=$A25,R$3&lt;&gt;""),R$3,'EBA2017'!R25)</f>
        <v>5</v>
      </c>
      <c r="S25" s="4">
        <f>IF(AND($C$4=$A25,S$3&lt;&gt;""),S$3,'EBA2017'!S25)</f>
        <v>2.5</v>
      </c>
      <c r="T25" s="12">
        <f>IF(AND($C$4=$A25,T$3&lt;&gt;""),T$3,'EBA2017'!T25)</f>
        <v>231</v>
      </c>
      <c r="U25" s="4">
        <f>IF(AND($C$4=$A25,U$3&lt;&gt;""),U$3,'EBA2017'!U25)</f>
        <v>377.01310058925463</v>
      </c>
      <c r="V25" s="30">
        <f t="shared" si="3"/>
        <v>38</v>
      </c>
      <c r="W25" s="31">
        <f>VLOOKUP($A25,'Mech Base Calc'!$A:$Z,24,FALSE)</f>
        <v>46.271963219649827</v>
      </c>
      <c r="X25" s="4">
        <f>IF(AND($C$4=$A25,X$3&lt;&gt;""),X$3,'EBA2017'!X25)</f>
        <v>3.5</v>
      </c>
      <c r="Y25" s="4">
        <f>IF(AND($C$4=$A25,Y$3&lt;&gt;""),Y$3,'EBA2017'!Y25)</f>
        <v>2</v>
      </c>
      <c r="Z25" s="4">
        <f>IF(AND($C$4=$A25,Z$3&lt;&gt;""),Z$3,'EBA2017'!Z25)</f>
        <v>5</v>
      </c>
      <c r="AA25" s="12" t="str">
        <f>IF(AND($C$4=$A25,AA$3&lt;&gt;""),AA$3,'EBA2017'!AA25)</f>
        <v>N/A</v>
      </c>
      <c r="AB25" s="4" t="str">
        <f>IF(AND($C$4=$A25,AB$3&lt;&gt;""),AB$3,'EBA2017'!AB25)</f>
        <v>N/A</v>
      </c>
      <c r="AC25" s="12">
        <f>IF(AND($C$4=$A25,AC$3&lt;&gt;""),AC$3,'EBA2017'!AC25)</f>
        <v>30</v>
      </c>
      <c r="AD25" s="4">
        <f>IF(AND($C$4=$A25,AD$3&lt;&gt;""),AD$3,'EBA2017'!AD25)</f>
        <v>10.10758982813015</v>
      </c>
      <c r="AE25" s="30">
        <f t="shared" si="4"/>
        <v>16</v>
      </c>
      <c r="AF25" s="31">
        <f>100*AVERAGE(IF(VLOOKUP(A25,'Data Gaps'!A:O,15,FALSE)="X",Calculator!AH25/4,AVERAGE(AG25/5,AH25/4)),AVERAGE(AI25/5,AJ25/8),IF(VLOOKUP(A25,'Data Gaps'!A:O,15,FALSE)="X",Calculator!AL25/7,AVERAGE(AK25/7,AL25/7)))</f>
        <v>62.428571428571423</v>
      </c>
      <c r="AG25" s="4">
        <f>IF(AND($C$4=$A25,AG$3&lt;&gt;""),AG$3,'EBA2017'!AG25)</f>
        <v>4.1749999999999998</v>
      </c>
      <c r="AH25" s="4">
        <f>IF(AND($C$4=$A25,AH$3&lt;&gt;""),AH$3,'EBA2017'!AH25)</f>
        <v>3.5</v>
      </c>
      <c r="AI25" s="4">
        <f>IF(AND($C$4=$A25,AI$3&lt;&gt;""),AI$3,'EBA2017'!AI25)</f>
        <v>0</v>
      </c>
      <c r="AJ25" s="4">
        <f>IF(AND($C$4=$A25,AJ$3&lt;&gt;""),AJ$3,'EBA2017'!AJ25)</f>
        <v>6</v>
      </c>
      <c r="AK25" s="4">
        <f>IF(AND($C$4=$A25,AK$3&lt;&gt;""),AK$3,'EBA2017'!AK25)</f>
        <v>4</v>
      </c>
      <c r="AL25" s="4">
        <f>IF(AND($C$4=$A25,AL$3&lt;&gt;""),AL$3,'EBA2017'!AL25)</f>
        <v>5</v>
      </c>
      <c r="AM25" s="30">
        <f t="shared" si="5"/>
        <v>54</v>
      </c>
      <c r="AN25" s="31">
        <f>VLOOKUP($A25,'Mark Base Calc'!$A:$Z,21,FALSE)</f>
        <v>40.183340603361636</v>
      </c>
      <c r="AO25" s="4">
        <f>IF(AND($C$4=$A25,AO$3&lt;&gt;""),AO$3,'EBA2017'!AO25)</f>
        <v>5.9</v>
      </c>
      <c r="AP25" s="4">
        <f>IF(AND($C$4=$A25,AP$3&lt;&gt;""),AP$3,'EBA2017'!AP25)</f>
        <v>3</v>
      </c>
      <c r="AQ25" s="4">
        <f>IF(AND($C$4=$A25,AQ$3&lt;&gt;""),AQ$3,'EBA2017'!AQ25)</f>
        <v>2</v>
      </c>
      <c r="AR25" s="12">
        <f>IF(AND($C$4=$A25,AR$3&lt;&gt;""),AR$3,'EBA2017'!AR25)</f>
        <v>3</v>
      </c>
      <c r="AS25" s="12" t="str">
        <f>IF(AND($C$4=$A25,AS$3&lt;&gt;""),AS$3,'EBA2017'!AS25)</f>
        <v>No data</v>
      </c>
      <c r="AT25" s="4">
        <f>IF(AND($C$4=$A25,AT$3&lt;&gt;""),AT$3,'EBA2017'!AT25)</f>
        <v>1.0107589828130152</v>
      </c>
      <c r="AU25" s="30">
        <f t="shared" si="6"/>
        <v>59</v>
      </c>
      <c r="AV25" s="31">
        <f t="shared" si="7"/>
        <v>16.161616161616163</v>
      </c>
      <c r="AW25" s="4">
        <f>IF(AND($C$4=$A25,AW$3&lt;&gt;""),AW$3,'EBA2017'!AW25)</f>
        <v>1.0000000000000002</v>
      </c>
      <c r="AX25" s="4" t="str">
        <f>IF(AND($C$4=$A25,AX$3&lt;&gt;""),AX$3,'EBA2017'!AX25)</f>
        <v>N/A</v>
      </c>
      <c r="AY25" s="4" t="str">
        <f>IF(AND($C$4=$A25,AY$3&lt;&gt;""),AY$3,'EBA2017'!AY25)</f>
        <v>N/A</v>
      </c>
      <c r="AZ25" s="4">
        <f>IF(AND($C$4=$A25,AZ$3&lt;&gt;""),AZ$3,'EBA2017'!AZ25)</f>
        <v>5</v>
      </c>
      <c r="BA25" s="12" t="str">
        <f>IF(AND($C$4=$A25,BA$3&lt;&gt;""),BA$3,'EBA2017'!BA25)</f>
        <v>No practice</v>
      </c>
      <c r="BB25" s="4" t="str">
        <f>IF(AND($C$4=$A25,BB$3&lt;&gt;""),BB$3,'EBA2017'!BB25)</f>
        <v>No practice</v>
      </c>
      <c r="BC25" s="30">
        <f t="shared" si="8"/>
        <v>30</v>
      </c>
      <c r="BD25" s="31">
        <f t="shared" si="9"/>
        <v>54.525862068965516</v>
      </c>
      <c r="BE25" s="4">
        <f>IF(AND($C$4=$A25,BE$3&lt;&gt;""),BE$3,'EBA2017'!BE25)</f>
        <v>13.5</v>
      </c>
      <c r="BF25" s="4">
        <f>IF(AND($C$4=$A25,BF$3&lt;&gt;""),BF$3,'EBA2017'!BF25)</f>
        <v>12.5</v>
      </c>
      <c r="BG25" s="30">
        <f t="shared" si="10"/>
        <v>22</v>
      </c>
      <c r="BH25" s="31">
        <f t="shared" si="11"/>
        <v>61.111111111111114</v>
      </c>
      <c r="BI25" s="4">
        <f>IF(AND($C$4=$A25,BI$3&lt;&gt;""),BI$3,'EBA2017'!BI25)</f>
        <v>5.5</v>
      </c>
    </row>
    <row r="26" spans="1:61" x14ac:dyDescent="0.2">
      <c r="A26" s="2" t="s">
        <v>57</v>
      </c>
      <c r="B26" s="3" t="s">
        <v>58</v>
      </c>
      <c r="C26" s="3" t="s">
        <v>38</v>
      </c>
      <c r="D26" s="3" t="s">
        <v>39</v>
      </c>
      <c r="E26" s="3" t="s">
        <v>40</v>
      </c>
      <c r="F26" s="3" t="s">
        <v>159</v>
      </c>
      <c r="G26" s="3" t="s">
        <v>163</v>
      </c>
      <c r="H26" s="30">
        <f t="shared" si="1"/>
        <v>14</v>
      </c>
      <c r="I26" s="31">
        <f>VLOOKUP($A26,'Seed Base Calc'!$A:$S,19,FALSE)</f>
        <v>70.429825030249248</v>
      </c>
      <c r="J26" s="4">
        <f>IF(AND($C$4=$A26,J$3&lt;&gt;""),J$3,'EBA2017'!J26)</f>
        <v>8</v>
      </c>
      <c r="K26" s="4">
        <f>IF(AND($C$4=$A26,K$3&lt;&gt;""),K$3,'EBA2017'!K26)</f>
        <v>5</v>
      </c>
      <c r="L26" s="4">
        <f>IF(AND($C$4=$A26,L$3&lt;&gt;""),L$3,'EBA2017'!L26)</f>
        <v>9.5</v>
      </c>
      <c r="M26" s="12">
        <f>IF(AND($C$4=$A26,M$3&lt;&gt;""),M$3,'EBA2017'!M26)</f>
        <v>729</v>
      </c>
      <c r="N26" s="4">
        <f>IF(AND($C$4=$A26,N$3&lt;&gt;""),N$3,'EBA2017'!N26)</f>
        <v>8.6712580119792406</v>
      </c>
      <c r="O26" s="30">
        <f t="shared" si="2"/>
        <v>8</v>
      </c>
      <c r="P26" s="31">
        <f>VLOOKUP($A26,'Fert Base Calc'!$A:$S,19,FALSE)</f>
        <v>81.572644927332078</v>
      </c>
      <c r="Q26" s="4">
        <f>IF(AND($C$4=$A26,Q$3&lt;&gt;""),Q$3,'EBA2017'!Q26)</f>
        <v>7</v>
      </c>
      <c r="R26" s="4">
        <f>IF(AND($C$4=$A26,R$3&lt;&gt;""),R$3,'EBA2017'!R26)</f>
        <v>6.5</v>
      </c>
      <c r="S26" s="4">
        <f>IF(AND($C$4=$A26,S$3&lt;&gt;""),S$3,'EBA2017'!S26)</f>
        <v>3</v>
      </c>
      <c r="T26" s="12">
        <f>IF(AND($C$4=$A26,T$3&lt;&gt;""),T$3,'EBA2017'!T26)</f>
        <v>186</v>
      </c>
      <c r="U26" s="4">
        <f>IF(AND($C$4=$A26,U$3&lt;&gt;""),U$3,'EBA2017'!U26)</f>
        <v>2.4495079129884862</v>
      </c>
      <c r="V26" s="30">
        <f t="shared" si="3"/>
        <v>5</v>
      </c>
      <c r="W26" s="31">
        <f>VLOOKUP($A26,'Mech Base Calc'!$A:$Z,24,FALSE)</f>
        <v>83.387815921142661</v>
      </c>
      <c r="X26" s="4">
        <f>IF(AND($C$4=$A26,X$3&lt;&gt;""),X$3,'EBA2017'!X26)</f>
        <v>2</v>
      </c>
      <c r="Y26" s="4">
        <f>IF(AND($C$4=$A26,Y$3&lt;&gt;""),Y$3,'EBA2017'!Y26)</f>
        <v>7</v>
      </c>
      <c r="Z26" s="4">
        <f>IF(AND($C$4=$A26,Z$3&lt;&gt;""),Z$3,'EBA2017'!Z26)</f>
        <v>5</v>
      </c>
      <c r="AA26" s="12">
        <f>IF(AND($C$4=$A26,AA$3&lt;&gt;""),AA$3,'EBA2017'!AA26)</f>
        <v>35</v>
      </c>
      <c r="AB26" s="4">
        <f>IF(AND($C$4=$A26,AB$3&lt;&gt;""),AB$3,'EBA2017'!AB26)</f>
        <v>1.2247539564942431</v>
      </c>
      <c r="AC26" s="12">
        <f>IF(AND($C$4=$A26,AC$3&lt;&gt;""),AC$3,'EBA2017'!AC26)</f>
        <v>3.5</v>
      </c>
      <c r="AD26" s="4">
        <f>IF(AND($C$4=$A26,AD$3&lt;&gt;""),AD$3,'EBA2017'!AD26)</f>
        <v>6.123769782471216E-2</v>
      </c>
      <c r="AE26" s="30">
        <f t="shared" si="4"/>
        <v>4</v>
      </c>
      <c r="AF26" s="31">
        <f>100*AVERAGE(IF(VLOOKUP(A26,'Data Gaps'!A:O,15,FALSE)="X",Calculator!AH26/4,AVERAGE(AG26/5,AH26/4)),AVERAGE(AI26/5,AJ26/8),IF(VLOOKUP(A26,'Data Gaps'!A:O,15,FALSE)="X",Calculator!AL26/7,AVERAGE(AK26/7,AL26/7)))</f>
        <v>85.833333333333343</v>
      </c>
      <c r="AG26" s="4" t="str">
        <f>IF(AND($C$4=$A26,AG$3&lt;&gt;""),AG$3,'EBA2017'!AG26)</f>
        <v>N/A</v>
      </c>
      <c r="AH26" s="4">
        <f>IF(AND($C$4=$A26,AH$3&lt;&gt;""),AH$3,'EBA2017'!AH26)</f>
        <v>3.75</v>
      </c>
      <c r="AI26" s="4">
        <f>IF(AND($C$4=$A26,AI$3&lt;&gt;""),AI$3,'EBA2017'!AI26)</f>
        <v>4.5</v>
      </c>
      <c r="AJ26" s="4">
        <f>IF(AND($C$4=$A26,AJ$3&lt;&gt;""),AJ$3,'EBA2017'!AJ26)</f>
        <v>3</v>
      </c>
      <c r="AK26" s="4" t="str">
        <f>IF(AND($C$4=$A26,AK$3&lt;&gt;""),AK$3,'EBA2017'!AK26)</f>
        <v>N/A</v>
      </c>
      <c r="AL26" s="4">
        <f>IF(AND($C$4=$A26,AL$3&lt;&gt;""),AL$3,'EBA2017'!AL26)</f>
        <v>7</v>
      </c>
      <c r="AM26" s="30">
        <f t="shared" si="5"/>
        <v>5</v>
      </c>
      <c r="AN26" s="31">
        <f>VLOOKUP($A26,'Mark Base Calc'!$A:$Z,21,FALSE)</f>
        <v>80.648656898656895</v>
      </c>
      <c r="AO26" s="4">
        <f>IF(AND($C$4=$A26,AO$3&lt;&gt;""),AO$3,'EBA2017'!AO26)</f>
        <v>9.85</v>
      </c>
      <c r="AP26" s="4">
        <f>IF(AND($C$4=$A26,AP$3&lt;&gt;""),AP$3,'EBA2017'!AP26)</f>
        <v>6</v>
      </c>
      <c r="AQ26" s="4">
        <f>IF(AND($C$4=$A26,AQ$3&lt;&gt;""),AQ$3,'EBA2017'!AQ26)</f>
        <v>5.5</v>
      </c>
      <c r="AR26" s="12">
        <f>IF(AND($C$4=$A26,AR$3&lt;&gt;""),AR$3,'EBA2017'!AR26)</f>
        <v>0</v>
      </c>
      <c r="AS26" s="12">
        <f>IF(AND($C$4=$A26,AS$3&lt;&gt;""),AS$3,'EBA2017'!AS26)</f>
        <v>0</v>
      </c>
      <c r="AT26" s="4">
        <f>IF(AND($C$4=$A26,AT$3&lt;&gt;""),AT$3,'EBA2017'!AT26)</f>
        <v>0</v>
      </c>
      <c r="AU26" s="30">
        <f t="shared" si="6"/>
        <v>14</v>
      </c>
      <c r="AV26" s="31">
        <f t="shared" si="7"/>
        <v>71.247570258546773</v>
      </c>
      <c r="AW26" s="4">
        <f>IF(AND($C$4=$A26,AW$3&lt;&gt;""),AW$3,'EBA2017'!AW26)</f>
        <v>8.8333333333333321</v>
      </c>
      <c r="AX26" s="4">
        <f>IF(AND($C$4=$A26,AX$3&lt;&gt;""),AX$3,'EBA2017'!AX26)</f>
        <v>60</v>
      </c>
      <c r="AY26" s="4">
        <f>IF(AND($C$4=$A26,AY$3&lt;&gt;""),AY$3,'EBA2017'!AY26)</f>
        <v>3.061884891235608</v>
      </c>
      <c r="AZ26" s="4">
        <f>IF(AND($C$4=$A26,AZ$3&lt;&gt;""),AZ$3,'EBA2017'!AZ26)</f>
        <v>9</v>
      </c>
      <c r="BA26" s="12">
        <f>IF(AND($C$4=$A26,BA$3&lt;&gt;""),BA$3,'EBA2017'!BA26)</f>
        <v>60</v>
      </c>
      <c r="BB26" s="4">
        <f>IF(AND($C$4=$A26,BB$3&lt;&gt;""),BB$3,'EBA2017'!BB26)</f>
        <v>3.8044314415763822</v>
      </c>
      <c r="BC26" s="30">
        <f t="shared" si="8"/>
        <v>12</v>
      </c>
      <c r="BD26" s="31">
        <f t="shared" si="9"/>
        <v>73.663793103448285</v>
      </c>
      <c r="BE26" s="4">
        <f>IF(AND($C$4=$A26,BE$3&lt;&gt;""),BE$3,'EBA2017'!BE26)</f>
        <v>27.5</v>
      </c>
      <c r="BF26" s="4">
        <f>IF(AND($C$4=$A26,BF$3&lt;&gt;""),BF$3,'EBA2017'!BF26)</f>
        <v>10.5</v>
      </c>
      <c r="BG26" s="30">
        <f t="shared" si="10"/>
        <v>1</v>
      </c>
      <c r="BH26" s="31">
        <f t="shared" si="11"/>
        <v>100</v>
      </c>
      <c r="BI26" s="4">
        <f>IF(AND($C$4=$A26,BI$3&lt;&gt;""),BI$3,'EBA2017'!BI26)</f>
        <v>9</v>
      </c>
    </row>
    <row r="27" spans="1:61" x14ac:dyDescent="0.2">
      <c r="A27" s="2" t="s">
        <v>59</v>
      </c>
      <c r="B27" s="3" t="s">
        <v>60</v>
      </c>
      <c r="C27" s="3" t="s">
        <v>21</v>
      </c>
      <c r="D27" s="3" t="s">
        <v>22</v>
      </c>
      <c r="E27" s="3" t="s">
        <v>9</v>
      </c>
      <c r="F27" s="3" t="s">
        <v>159</v>
      </c>
      <c r="G27" s="3" t="s">
        <v>158</v>
      </c>
      <c r="H27" s="30">
        <f t="shared" si="1"/>
        <v>26</v>
      </c>
      <c r="I27" s="31">
        <f>VLOOKUP($A27,'Seed Base Calc'!$A:$S,19,FALSE)</f>
        <v>64.038263180318552</v>
      </c>
      <c r="J27" s="4">
        <f>IF(AND($C$4=$A27,J$3&lt;&gt;""),J$3,'EBA2017'!J27)</f>
        <v>5</v>
      </c>
      <c r="K27" s="4">
        <f>IF(AND($C$4=$A27,K$3&lt;&gt;""),K$3,'EBA2017'!K27)</f>
        <v>4.5</v>
      </c>
      <c r="L27" s="4">
        <f>IF(AND($C$4=$A27,L$3&lt;&gt;""),L$3,'EBA2017'!L27)</f>
        <v>6</v>
      </c>
      <c r="M27" s="12">
        <f>IF(AND($C$4=$A27,M$3&lt;&gt;""),M$3,'EBA2017'!M27)</f>
        <v>166</v>
      </c>
      <c r="N27" s="4">
        <f>IF(AND($C$4=$A27,N$3&lt;&gt;""),N$3,'EBA2017'!N27)</f>
        <v>1.8802228412256268</v>
      </c>
      <c r="O27" s="30">
        <f t="shared" si="2"/>
        <v>9</v>
      </c>
      <c r="P27" s="31">
        <f>VLOOKUP($A27,'Fert Base Calc'!$A:$S,19,FALSE)</f>
        <v>80.356370950167218</v>
      </c>
      <c r="Q27" s="4">
        <f>IF(AND($C$4=$A27,Q$3&lt;&gt;""),Q$3,'EBA2017'!Q27)</f>
        <v>4.8</v>
      </c>
      <c r="R27" s="4">
        <f>IF(AND($C$4=$A27,R$3&lt;&gt;""),R$3,'EBA2017'!R27)</f>
        <v>7</v>
      </c>
      <c r="S27" s="4">
        <f>IF(AND($C$4=$A27,S$3&lt;&gt;""),S$3,'EBA2017'!S27)</f>
        <v>3.5</v>
      </c>
      <c r="T27" s="12">
        <f>IF(AND($C$4=$A27,T$3&lt;&gt;""),T$3,'EBA2017'!T27)</f>
        <v>113</v>
      </c>
      <c r="U27" s="4">
        <f>IF(AND($C$4=$A27,U$3&lt;&gt;""),U$3,'EBA2017'!U27)</f>
        <v>1.2011094655384913</v>
      </c>
      <c r="V27" s="30">
        <f t="shared" si="3"/>
        <v>57</v>
      </c>
      <c r="W27" s="31">
        <f>VLOOKUP($A27,'Mech Base Calc'!$A:$Z,24,FALSE)</f>
        <v>18.833333333333332</v>
      </c>
      <c r="X27" s="4">
        <f>IF(AND($C$4=$A27,X$3&lt;&gt;""),X$3,'EBA2017'!X27)</f>
        <v>0</v>
      </c>
      <c r="Y27" s="4">
        <f>IF(AND($C$4=$A27,Y$3&lt;&gt;""),Y$3,'EBA2017'!Y27)</f>
        <v>0.33333333333333326</v>
      </c>
      <c r="Z27" s="4">
        <f>IF(AND($C$4=$A27,Z$3&lt;&gt;""),Z$3,'EBA2017'!Z27)</f>
        <v>4.5</v>
      </c>
      <c r="AA27" s="12" t="str">
        <f>IF(AND($C$4=$A27,AA$3&lt;&gt;""),AA$3,'EBA2017'!AA27)</f>
        <v>N/A</v>
      </c>
      <c r="AB27" s="4" t="str">
        <f>IF(AND($C$4=$A27,AB$3&lt;&gt;""),AB$3,'EBA2017'!AB27)</f>
        <v>N/A</v>
      </c>
      <c r="AC27" s="12" t="str">
        <f>IF(AND($C$4=$A27,AC$3&lt;&gt;""),AC$3,'EBA2017'!AC27)</f>
        <v>N/A</v>
      </c>
      <c r="AD27" s="4" t="str">
        <f>IF(AND($C$4=$A27,AD$3&lt;&gt;""),AD$3,'EBA2017'!AD27)</f>
        <v>N/A</v>
      </c>
      <c r="AE27" s="30">
        <f t="shared" si="4"/>
        <v>24</v>
      </c>
      <c r="AF27" s="31">
        <f>100*AVERAGE(IF(VLOOKUP(A27,'Data Gaps'!A:O,15,FALSE)="X",Calculator!AH27/4,AVERAGE(AG27/5,AH27/4)),AVERAGE(AI27/5,AJ27/8),IF(VLOOKUP(A27,'Data Gaps'!A:O,15,FALSE)="X",Calculator!AL27/7,AVERAGE(AK27/7,AL27/7)))</f>
        <v>55.892857142857132</v>
      </c>
      <c r="AG27" s="4">
        <f>IF(AND($C$4=$A27,AG$3&lt;&gt;""),AG$3,'EBA2017'!AG27)</f>
        <v>4.5</v>
      </c>
      <c r="AH27" s="4">
        <f>IF(AND($C$4=$A27,AH$3&lt;&gt;""),AH$3,'EBA2017'!AH27)</f>
        <v>1</v>
      </c>
      <c r="AI27" s="4">
        <f>IF(AND($C$4=$A27,AI$3&lt;&gt;""),AI$3,'EBA2017'!AI27)</f>
        <v>4.5</v>
      </c>
      <c r="AJ27" s="4">
        <f>IF(AND($C$4=$A27,AJ$3&lt;&gt;""),AJ$3,'EBA2017'!AJ27)</f>
        <v>7</v>
      </c>
      <c r="AK27" s="4">
        <f>IF(AND($C$4=$A27,AK$3&lt;&gt;""),AK$3,'EBA2017'!AK27)</f>
        <v>0</v>
      </c>
      <c r="AL27" s="4">
        <f>IF(AND($C$4=$A27,AL$3&lt;&gt;""),AL$3,'EBA2017'!AL27)</f>
        <v>3</v>
      </c>
      <c r="AM27" s="30">
        <f t="shared" si="5"/>
        <v>14</v>
      </c>
      <c r="AN27" s="31">
        <f>VLOOKUP($A27,'Mark Base Calc'!$A:$Z,21,FALSE)</f>
        <v>72.149127109271021</v>
      </c>
      <c r="AO27" s="4">
        <f>IF(AND($C$4=$A27,AO$3&lt;&gt;""),AO$3,'EBA2017'!AO27)</f>
        <v>7</v>
      </c>
      <c r="AP27" s="4">
        <f>IF(AND($C$4=$A27,AP$3&lt;&gt;""),AP$3,'EBA2017'!AP27)</f>
        <v>6</v>
      </c>
      <c r="AQ27" s="4">
        <f>IF(AND($C$4=$A27,AQ$3&lt;&gt;""),AQ$3,'EBA2017'!AQ27)</f>
        <v>6.5</v>
      </c>
      <c r="AR27" s="12">
        <f>IF(AND($C$4=$A27,AR$3&lt;&gt;""),AR$3,'EBA2017'!AR27)</f>
        <v>1</v>
      </c>
      <c r="AS27" s="12">
        <f>IF(AND($C$4=$A27,AS$3&lt;&gt;""),AS$3,'EBA2017'!AS27)</f>
        <v>1</v>
      </c>
      <c r="AT27" s="4">
        <f>IF(AND($C$4=$A27,AT$3&lt;&gt;""),AT$3,'EBA2017'!AT27)</f>
        <v>0.17409470752089137</v>
      </c>
      <c r="AU27" s="30">
        <f t="shared" si="6"/>
        <v>58</v>
      </c>
      <c r="AV27" s="31">
        <f t="shared" si="7"/>
        <v>18.308080808080806</v>
      </c>
      <c r="AW27" s="4">
        <f>IF(AND($C$4=$A27,AW$3&lt;&gt;""),AW$3,'EBA2017'!AW27)</f>
        <v>3.1666666666666661</v>
      </c>
      <c r="AX27" s="4" t="str">
        <f>IF(AND($C$4=$A27,AX$3&lt;&gt;""),AX$3,'EBA2017'!AX27)</f>
        <v>N/A</v>
      </c>
      <c r="AY27" s="4" t="str">
        <f>IF(AND($C$4=$A27,AY$3&lt;&gt;""),AY$3,'EBA2017'!AY27)</f>
        <v>N/A</v>
      </c>
      <c r="AZ27" s="4">
        <f>IF(AND($C$4=$A27,AZ$3&lt;&gt;""),AZ$3,'EBA2017'!AZ27)</f>
        <v>4</v>
      </c>
      <c r="BA27" s="12" t="str">
        <f>IF(AND($C$4=$A27,BA$3&lt;&gt;""),BA$3,'EBA2017'!BA27)</f>
        <v>N/A</v>
      </c>
      <c r="BB27" s="4" t="str">
        <f>IF(AND($C$4=$A27,BB$3&lt;&gt;""),BB$3,'EBA2017'!BB27)</f>
        <v>N/A</v>
      </c>
      <c r="BC27" s="30">
        <f t="shared" si="8"/>
        <v>58</v>
      </c>
      <c r="BD27" s="31">
        <f t="shared" si="9"/>
        <v>10.344827586206897</v>
      </c>
      <c r="BE27" s="4">
        <f>IF(AND($C$4=$A27,BE$3&lt;&gt;""),BE$3,'EBA2017'!BE27)</f>
        <v>6</v>
      </c>
      <c r="BF27" s="4">
        <f>IF(AND($C$4=$A27,BF$3&lt;&gt;""),BF$3,'EBA2017'!BF27)</f>
        <v>0</v>
      </c>
      <c r="BG27" s="30">
        <f t="shared" si="10"/>
        <v>21</v>
      </c>
      <c r="BH27" s="31">
        <f t="shared" si="11"/>
        <v>63.888888888888886</v>
      </c>
      <c r="BI27" s="4">
        <f>IF(AND($C$4=$A27,BI$3&lt;&gt;""),BI$3,'EBA2017'!BI27)</f>
        <v>5.75</v>
      </c>
    </row>
    <row r="28" spans="1:61" x14ac:dyDescent="0.2">
      <c r="A28" s="2" t="s">
        <v>61</v>
      </c>
      <c r="B28" s="3" t="s">
        <v>62</v>
      </c>
      <c r="C28" s="3" t="s">
        <v>21</v>
      </c>
      <c r="D28" s="3" t="s">
        <v>22</v>
      </c>
      <c r="E28" s="3" t="s">
        <v>18</v>
      </c>
      <c r="F28" s="3" t="s">
        <v>159</v>
      </c>
      <c r="G28" s="3" t="s">
        <v>158</v>
      </c>
      <c r="H28" s="30">
        <f t="shared" si="1"/>
        <v>61</v>
      </c>
      <c r="I28" s="31">
        <f>VLOOKUP($A28,'Seed Base Calc'!$A:$S,19,FALSE)</f>
        <v>10</v>
      </c>
      <c r="J28" s="4">
        <f>IF(AND($C$4=$A28,J$3&lt;&gt;""),J$3,'EBA2017'!J28)</f>
        <v>4</v>
      </c>
      <c r="K28" s="4">
        <f>IF(AND($C$4=$A28,K$3&lt;&gt;""),K$3,'EBA2017'!K28)</f>
        <v>0</v>
      </c>
      <c r="L28" s="4">
        <f>IF(AND($C$4=$A28,L$3&lt;&gt;""),L$3,'EBA2017'!L28)</f>
        <v>0</v>
      </c>
      <c r="M28" s="12" t="str">
        <f>IF(AND($C$4=$A28,M$3&lt;&gt;""),M$3,'EBA2017'!M28)</f>
        <v>No practice</v>
      </c>
      <c r="N28" s="4" t="str">
        <f>IF(AND($C$4=$A28,N$3&lt;&gt;""),N$3,'EBA2017'!N28)</f>
        <v>No practice</v>
      </c>
      <c r="O28" s="30">
        <f t="shared" si="2"/>
        <v>58</v>
      </c>
      <c r="P28" s="31">
        <f>VLOOKUP($A28,'Fert Base Calc'!$A:$S,19,FALSE)</f>
        <v>21.428571428571427</v>
      </c>
      <c r="Q28" s="4">
        <f>IF(AND($C$4=$A28,Q$3&lt;&gt;""),Q$3,'EBA2017'!Q28)</f>
        <v>0</v>
      </c>
      <c r="R28" s="4">
        <f>IF(AND($C$4=$A28,R$3&lt;&gt;""),R$3,'EBA2017'!R28)</f>
        <v>0</v>
      </c>
      <c r="S28" s="4">
        <f>IF(AND($C$4=$A28,S$3&lt;&gt;""),S$3,'EBA2017'!S28)</f>
        <v>6</v>
      </c>
      <c r="T28" s="12" t="str">
        <f>IF(AND($C$4=$A28,T$3&lt;&gt;""),T$3,'EBA2017'!T28)</f>
        <v>N/A</v>
      </c>
      <c r="U28" s="4" t="str">
        <f>IF(AND($C$4=$A28,U$3&lt;&gt;""),U$3,'EBA2017'!U28)</f>
        <v>N/A</v>
      </c>
      <c r="V28" s="30">
        <f t="shared" si="3"/>
        <v>43</v>
      </c>
      <c r="W28" s="31">
        <f>VLOOKUP($A28,'Mech Base Calc'!$A:$Z,24,FALSE)</f>
        <v>41.794871794871788</v>
      </c>
      <c r="X28" s="4">
        <f>IF(AND($C$4=$A28,X$3&lt;&gt;""),X$3,'EBA2017'!X28)</f>
        <v>2.5</v>
      </c>
      <c r="Y28" s="4">
        <f>IF(AND($C$4=$A28,Y$3&lt;&gt;""),Y$3,'EBA2017'!Y28)</f>
        <v>0.33333333333333326</v>
      </c>
      <c r="Z28" s="4">
        <f>IF(AND($C$4=$A28,Z$3&lt;&gt;""),Z$3,'EBA2017'!Z28)</f>
        <v>5</v>
      </c>
      <c r="AA28" s="12" t="str">
        <f>IF(AND($C$4=$A28,AA$3&lt;&gt;""),AA$3,'EBA2017'!AA28)</f>
        <v>N/A</v>
      </c>
      <c r="AB28" s="4" t="str">
        <f>IF(AND($C$4=$A28,AB$3&lt;&gt;""),AB$3,'EBA2017'!AB28)</f>
        <v>N/A</v>
      </c>
      <c r="AC28" s="12">
        <f>IF(AND($C$4=$A28,AC$3&lt;&gt;""),AC$3,'EBA2017'!AC28)</f>
        <v>5</v>
      </c>
      <c r="AD28" s="4">
        <f>IF(AND($C$4=$A28,AD$3&lt;&gt;""),AD$3,'EBA2017'!AD28)</f>
        <v>40.849287281432119</v>
      </c>
      <c r="AE28" s="30">
        <f t="shared" si="4"/>
        <v>54</v>
      </c>
      <c r="AF28" s="31">
        <f>100*AVERAGE(IF(VLOOKUP(A28,'Data Gaps'!A:O,15,FALSE)="X",Calculator!AH28/4,AVERAGE(AG28/5,AH28/4)),AVERAGE(AI28/5,AJ28/8),IF(VLOOKUP(A28,'Data Gaps'!A:O,15,FALSE)="X",Calculator!AL28/7,AVERAGE(AK28/7,AL28/7)))</f>
        <v>32.654761904761912</v>
      </c>
      <c r="AG28" s="4">
        <f>IF(AND($C$4=$A28,AG$3&lt;&gt;""),AG$3,'EBA2017'!AG28)</f>
        <v>3.7250000000000001</v>
      </c>
      <c r="AH28" s="4">
        <f>IF(AND($C$4=$A28,AH$3&lt;&gt;""),AH$3,'EBA2017'!AH28)</f>
        <v>1</v>
      </c>
      <c r="AI28" s="4">
        <f>IF(AND($C$4=$A28,AI$3&lt;&gt;""),AI$3,'EBA2017'!AI28)</f>
        <v>0</v>
      </c>
      <c r="AJ28" s="4">
        <f>IF(AND($C$4=$A28,AJ$3&lt;&gt;""),AJ$3,'EBA2017'!AJ28)</f>
        <v>2</v>
      </c>
      <c r="AK28" s="4">
        <f>IF(AND($C$4=$A28,AK$3&lt;&gt;""),AK$3,'EBA2017'!AK28)</f>
        <v>0</v>
      </c>
      <c r="AL28" s="4">
        <f>IF(AND($C$4=$A28,AL$3&lt;&gt;""),AL$3,'EBA2017'!AL28)</f>
        <v>5</v>
      </c>
      <c r="AM28" s="30">
        <f t="shared" si="5"/>
        <v>57</v>
      </c>
      <c r="AN28" s="31">
        <f>VLOOKUP($A28,'Mark Base Calc'!$A:$Z,21,FALSE)</f>
        <v>35.583256088508783</v>
      </c>
      <c r="AO28" s="4">
        <f>IF(AND($C$4=$A28,AO$3&lt;&gt;""),AO$3,'EBA2017'!AO28)</f>
        <v>4.5</v>
      </c>
      <c r="AP28" s="4">
        <f>IF(AND($C$4=$A28,AP$3&lt;&gt;""),AP$3,'EBA2017'!AP28)</f>
        <v>0</v>
      </c>
      <c r="AQ28" s="4" t="str">
        <f>IF(AND($C$4=$A28,AQ$3&lt;&gt;""),AQ$3,'EBA2017'!AQ28)</f>
        <v>No data</v>
      </c>
      <c r="AR28" s="12">
        <f>IF(AND($C$4=$A28,AR$3&lt;&gt;""),AR$3,'EBA2017'!AR28)</f>
        <v>1</v>
      </c>
      <c r="AS28" s="12" t="str">
        <f>IF(AND($C$4=$A28,AS$3&lt;&gt;""),AS$3,'EBA2017'!AS28)</f>
        <v>No data</v>
      </c>
      <c r="AT28" s="4">
        <f>IF(AND($C$4=$A28,AT$3&lt;&gt;""),AT$3,'EBA2017'!AT28)</f>
        <v>1.6092143474503562</v>
      </c>
      <c r="AU28" s="30">
        <f t="shared" si="6"/>
        <v>62</v>
      </c>
      <c r="AV28" s="31">
        <f t="shared" si="7"/>
        <v>7.8282828282828287</v>
      </c>
      <c r="AW28" s="4">
        <f>IF(AND($C$4=$A28,AW$3&lt;&gt;""),AW$3,'EBA2017'!AW28)</f>
        <v>1.0000000000000002</v>
      </c>
      <c r="AX28" s="4" t="str">
        <f>IF(AND($C$4=$A28,AX$3&lt;&gt;""),AX$3,'EBA2017'!AX28)</f>
        <v>N/A</v>
      </c>
      <c r="AY28" s="4" t="str">
        <f>IF(AND($C$4=$A28,AY$3&lt;&gt;""),AY$3,'EBA2017'!AY28)</f>
        <v>N/A</v>
      </c>
      <c r="AZ28" s="4">
        <f>IF(AND($C$4=$A28,AZ$3&lt;&gt;""),AZ$3,'EBA2017'!AZ28)</f>
        <v>2</v>
      </c>
      <c r="BA28" s="12" t="str">
        <f>IF(AND($C$4=$A28,BA$3&lt;&gt;""),BA$3,'EBA2017'!BA28)</f>
        <v>N/A</v>
      </c>
      <c r="BB28" s="4" t="str">
        <f>IF(AND($C$4=$A28,BB$3&lt;&gt;""),BB$3,'EBA2017'!BB28)</f>
        <v>N/A</v>
      </c>
      <c r="BC28" s="30">
        <f t="shared" si="8"/>
        <v>57</v>
      </c>
      <c r="BD28" s="31">
        <f t="shared" si="9"/>
        <v>12.198275862068964</v>
      </c>
      <c r="BE28" s="4">
        <f>IF(AND($C$4=$A28,BE$3&lt;&gt;""),BE$3,'EBA2017'!BE28)</f>
        <v>2</v>
      </c>
      <c r="BF28" s="4">
        <f>IF(AND($C$4=$A28,BF$3&lt;&gt;""),BF$3,'EBA2017'!BF28)</f>
        <v>3.5</v>
      </c>
      <c r="BG28" s="30">
        <f t="shared" si="10"/>
        <v>43</v>
      </c>
      <c r="BH28" s="31">
        <f t="shared" si="11"/>
        <v>44.444444444444443</v>
      </c>
      <c r="BI28" s="4">
        <f>IF(AND($C$4=$A28,BI$3&lt;&gt;""),BI$3,'EBA2017'!BI28)</f>
        <v>4</v>
      </c>
    </row>
    <row r="29" spans="1:61" x14ac:dyDescent="0.2">
      <c r="A29" s="2" t="s">
        <v>63</v>
      </c>
      <c r="B29" s="3" t="s">
        <v>146</v>
      </c>
      <c r="C29" s="3" t="s">
        <v>12</v>
      </c>
      <c r="D29" s="3" t="s">
        <v>13</v>
      </c>
      <c r="E29" s="3" t="s">
        <v>9</v>
      </c>
      <c r="F29" s="3" t="s">
        <v>162</v>
      </c>
      <c r="G29" s="3" t="s">
        <v>158</v>
      </c>
      <c r="H29" s="30">
        <f t="shared" si="1"/>
        <v>21</v>
      </c>
      <c r="I29" s="31">
        <f>VLOOKUP($A29,'Seed Base Calc'!$A:$S,19,FALSE)</f>
        <v>66.600301648326109</v>
      </c>
      <c r="J29" s="4">
        <f>IF(AND($C$4=$A29,J$3&lt;&gt;""),J$3,'EBA2017'!J29)</f>
        <v>8</v>
      </c>
      <c r="K29" s="4">
        <f>IF(AND($C$4=$A29,K$3&lt;&gt;""),K$3,'EBA2017'!K29)</f>
        <v>6</v>
      </c>
      <c r="L29" s="4">
        <f>IF(AND($C$4=$A29,L$3&lt;&gt;""),L$3,'EBA2017'!L29)</f>
        <v>4.5</v>
      </c>
      <c r="M29" s="12">
        <f>IF(AND($C$4=$A29,M$3&lt;&gt;""),M$3,'EBA2017'!M29)</f>
        <v>397</v>
      </c>
      <c r="N29" s="4">
        <f>IF(AND($C$4=$A29,N$3&lt;&gt;""),N$3,'EBA2017'!N29)</f>
        <v>98.739280394767107</v>
      </c>
      <c r="O29" s="30">
        <f t="shared" si="2"/>
        <v>17</v>
      </c>
      <c r="P29" s="31">
        <f>VLOOKUP($A29,'Fert Base Calc'!$A:$S,19,FALSE)</f>
        <v>69.592627960388455</v>
      </c>
      <c r="Q29" s="4">
        <f>IF(AND($C$4=$A29,Q$3&lt;&gt;""),Q$3,'EBA2017'!Q29)</f>
        <v>5</v>
      </c>
      <c r="R29" s="4">
        <f>IF(AND($C$4=$A29,R$3&lt;&gt;""),R$3,'EBA2017'!R29)</f>
        <v>3.5</v>
      </c>
      <c r="S29" s="4">
        <f>IF(AND($C$4=$A29,S$3&lt;&gt;""),S$3,'EBA2017'!S29)</f>
        <v>7</v>
      </c>
      <c r="T29" s="12">
        <f>IF(AND($C$4=$A29,T$3&lt;&gt;""),T$3,'EBA2017'!T29)</f>
        <v>804</v>
      </c>
      <c r="U29" s="4">
        <f>IF(AND($C$4=$A29,U$3&lt;&gt;""),U$3,'EBA2017'!U29)</f>
        <v>17.108291157509154</v>
      </c>
      <c r="V29" s="30">
        <f t="shared" si="3"/>
        <v>21</v>
      </c>
      <c r="W29" s="31">
        <f>VLOOKUP($A29,'Mech Base Calc'!$A:$Z,24,FALSE)</f>
        <v>59.558342385613436</v>
      </c>
      <c r="X29" s="4">
        <f>IF(AND($C$4=$A29,X$3&lt;&gt;""),X$3,'EBA2017'!X29)</f>
        <v>3.5</v>
      </c>
      <c r="Y29" s="4">
        <f>IF(AND($C$4=$A29,Y$3&lt;&gt;""),Y$3,'EBA2017'!Y29)</f>
        <v>3.8333333333333339</v>
      </c>
      <c r="Z29" s="4">
        <f>IF(AND($C$4=$A29,Z$3&lt;&gt;""),Z$3,'EBA2017'!Z29)</f>
        <v>4.5</v>
      </c>
      <c r="AA29" s="12">
        <f>IF(AND($C$4=$A29,AA$3&lt;&gt;""),AA$3,'EBA2017'!AA29)</f>
        <v>270</v>
      </c>
      <c r="AB29" s="4">
        <f>IF(AND($C$4=$A29,AB$3&lt;&gt;""),AB$3,'EBA2017'!AB29)</f>
        <v>604.35478441387988</v>
      </c>
      <c r="AC29" s="12">
        <f>IF(AND($C$4=$A29,AC$3&lt;&gt;""),AC$3,'EBA2017'!AC29)</f>
        <v>7</v>
      </c>
      <c r="AD29" s="4">
        <f>IF(AND($C$4=$A29,AD$3&lt;&gt;""),AD$3,'EBA2017'!AD29)</f>
        <v>0.1955233275143903</v>
      </c>
      <c r="AE29" s="30">
        <f t="shared" si="4"/>
        <v>15</v>
      </c>
      <c r="AF29" s="31">
        <f>100*AVERAGE(IF(VLOOKUP(A29,'Data Gaps'!A:O,15,FALSE)="X",Calculator!AH29/4,AVERAGE(AG29/5,AH29/4)),AVERAGE(AI29/5,AJ29/8),IF(VLOOKUP(A29,'Data Gaps'!A:O,15,FALSE)="X",Calculator!AL29/7,AVERAGE(AK29/7,AL29/7)))</f>
        <v>66.101190476190482</v>
      </c>
      <c r="AG29" s="4">
        <f>IF(AND($C$4=$A29,AG$3&lt;&gt;""),AG$3,'EBA2017'!AG29)</f>
        <v>4.875</v>
      </c>
      <c r="AH29" s="4">
        <f>IF(AND($C$4=$A29,AH$3&lt;&gt;""),AH$3,'EBA2017'!AH29)</f>
        <v>3.75</v>
      </c>
      <c r="AI29" s="4">
        <f>IF(AND($C$4=$A29,AI$3&lt;&gt;""),AI$3,'EBA2017'!AI29)</f>
        <v>5</v>
      </c>
      <c r="AJ29" s="4">
        <f>IF(AND($C$4=$A29,AJ$3&lt;&gt;""),AJ$3,'EBA2017'!AJ29)</f>
        <v>5</v>
      </c>
      <c r="AK29" s="4">
        <f>IF(AND($C$4=$A29,AK$3&lt;&gt;""),AK$3,'EBA2017'!AK29)</f>
        <v>0</v>
      </c>
      <c r="AL29" s="4">
        <f>IF(AND($C$4=$A29,AL$3&lt;&gt;""),AL$3,'EBA2017'!AL29)</f>
        <v>3</v>
      </c>
      <c r="AM29" s="30">
        <f t="shared" si="5"/>
        <v>43</v>
      </c>
      <c r="AN29" s="31">
        <f>VLOOKUP($A29,'Mark Base Calc'!$A:$Z,21,FALSE)</f>
        <v>52.528751641166714</v>
      </c>
      <c r="AO29" s="4">
        <f>IF(AND($C$4=$A29,AO$3&lt;&gt;""),AO$3,'EBA2017'!AO29)</f>
        <v>6.15</v>
      </c>
      <c r="AP29" s="4">
        <f>IF(AND($C$4=$A29,AP$3&lt;&gt;""),AP$3,'EBA2017'!AP29)</f>
        <v>6</v>
      </c>
      <c r="AQ29" s="4">
        <f>IF(AND($C$4=$A29,AQ$3&lt;&gt;""),AQ$3,'EBA2017'!AQ29)</f>
        <v>4.5</v>
      </c>
      <c r="AR29" s="12">
        <f>IF(AND($C$4=$A29,AR$3&lt;&gt;""),AR$3,'EBA2017'!AR29)</f>
        <v>3</v>
      </c>
      <c r="AS29" s="12">
        <f>IF(AND($C$4=$A29,AS$3&lt;&gt;""),AS$3,'EBA2017'!AS29)</f>
        <v>8</v>
      </c>
      <c r="AT29" s="4">
        <f>IF(AND($C$4=$A29,AT$3&lt;&gt;""),AT$3,'EBA2017'!AT29)</f>
        <v>2.0343876355659791</v>
      </c>
      <c r="AU29" s="30">
        <f t="shared" si="6"/>
        <v>46</v>
      </c>
      <c r="AV29" s="31">
        <f t="shared" si="7"/>
        <v>41.217731269354232</v>
      </c>
      <c r="AW29" s="4">
        <f>IF(AND($C$4=$A29,AW$3&lt;&gt;""),AW$3,'EBA2017'!AW29)</f>
        <v>9.3333333333333321</v>
      </c>
      <c r="AX29" s="4">
        <f>IF(AND($C$4=$A29,AX$3&lt;&gt;""),AX$3,'EBA2017'!AX29)</f>
        <v>8</v>
      </c>
      <c r="AY29" s="4">
        <f>IF(AND($C$4=$A29,AY$3&lt;&gt;""),AY$3,'EBA2017'!AY29)</f>
        <v>24.000488452391412</v>
      </c>
      <c r="AZ29" s="4">
        <f>IF(AND($C$4=$A29,AZ$3&lt;&gt;""),AZ$3,'EBA2017'!AZ29)</f>
        <v>2</v>
      </c>
      <c r="BA29" s="12" t="str">
        <f>IF(AND($C$4=$A29,BA$3&lt;&gt;""),BA$3,'EBA2017'!BA29)</f>
        <v>N/A</v>
      </c>
      <c r="BB29" s="4" t="str">
        <f>IF(AND($C$4=$A29,BB$3&lt;&gt;""),BB$3,'EBA2017'!BB29)</f>
        <v>N/A</v>
      </c>
      <c r="BC29" s="30">
        <f t="shared" si="8"/>
        <v>53</v>
      </c>
      <c r="BD29" s="31">
        <f t="shared" si="9"/>
        <v>17.629310344827591</v>
      </c>
      <c r="BE29" s="4">
        <f>IF(AND($C$4=$A29,BE$3&lt;&gt;""),BE$3,'EBA2017'!BE29)</f>
        <v>9.5000000000000018</v>
      </c>
      <c r="BF29" s="4">
        <f>IF(AND($C$4=$A29,BF$3&lt;&gt;""),BF$3,'EBA2017'!BF29)</f>
        <v>0.5</v>
      </c>
      <c r="BG29" s="30">
        <f t="shared" si="10"/>
        <v>18</v>
      </c>
      <c r="BH29" s="31">
        <f t="shared" si="11"/>
        <v>66.666666666666657</v>
      </c>
      <c r="BI29" s="4">
        <f>IF(AND($C$4=$A29,BI$3&lt;&gt;""),BI$3,'EBA2017'!BI29)</f>
        <v>5.9999999999999991</v>
      </c>
    </row>
    <row r="30" spans="1:61" x14ac:dyDescent="0.2">
      <c r="A30" s="2" t="s">
        <v>64</v>
      </c>
      <c r="B30" s="3" t="s">
        <v>65</v>
      </c>
      <c r="C30" s="3" t="s">
        <v>38</v>
      </c>
      <c r="D30" s="3" t="s">
        <v>39</v>
      </c>
      <c r="E30" s="3" t="s">
        <v>40</v>
      </c>
      <c r="F30" s="3" t="s">
        <v>159</v>
      </c>
      <c r="G30" s="3" t="s">
        <v>163</v>
      </c>
      <c r="H30" s="30">
        <f t="shared" si="1"/>
        <v>4</v>
      </c>
      <c r="I30" s="31">
        <f>VLOOKUP($A30,'Seed Base Calc'!$A:$S,19,FALSE)</f>
        <v>81.554197436568217</v>
      </c>
      <c r="J30" s="4">
        <f>IF(AND($C$4=$A30,J$3&lt;&gt;""),J$3,'EBA2017'!J30)</f>
        <v>10</v>
      </c>
      <c r="K30" s="4">
        <f>IF(AND($C$4=$A30,K$3&lt;&gt;""),K$3,'EBA2017'!K30)</f>
        <v>5.5</v>
      </c>
      <c r="L30" s="4">
        <f>IF(AND($C$4=$A30,L$3&lt;&gt;""),L$3,'EBA2017'!L30)</f>
        <v>10.5</v>
      </c>
      <c r="M30" s="12">
        <f>IF(AND($C$4=$A30,M$3&lt;&gt;""),M$3,'EBA2017'!M30)</f>
        <v>624</v>
      </c>
      <c r="N30" s="4">
        <f>IF(AND($C$4=$A30,N$3&lt;&gt;""),N$3,'EBA2017'!N30)</f>
        <v>5.5809979481242911</v>
      </c>
      <c r="O30" s="30">
        <f t="shared" si="2"/>
        <v>6</v>
      </c>
      <c r="P30" s="31">
        <f>VLOOKUP($A30,'Fert Base Calc'!$A:$S,19,FALSE)</f>
        <v>85.087267091000484</v>
      </c>
      <c r="Q30" s="4">
        <f>IF(AND($C$4=$A30,Q$3&lt;&gt;""),Q$3,'EBA2017'!Q30)</f>
        <v>6</v>
      </c>
      <c r="R30" s="4">
        <f>IF(AND($C$4=$A30,R$3&lt;&gt;""),R$3,'EBA2017'!R30)</f>
        <v>6.5</v>
      </c>
      <c r="S30" s="4">
        <f>IF(AND($C$4=$A30,S$3&lt;&gt;""),S$3,'EBA2017'!S30)</f>
        <v>6</v>
      </c>
      <c r="T30" s="12">
        <f>IF(AND($C$4=$A30,T$3&lt;&gt;""),T$3,'EBA2017'!T30)</f>
        <v>450</v>
      </c>
      <c r="U30" s="4">
        <f>IF(AND($C$4=$A30,U$3&lt;&gt;""),U$3,'EBA2017'!U30)</f>
        <v>11.161995896248582</v>
      </c>
      <c r="V30" s="30">
        <f t="shared" si="3"/>
        <v>11</v>
      </c>
      <c r="W30" s="31">
        <f>VLOOKUP($A30,'Mech Base Calc'!$A:$Z,24,FALSE)</f>
        <v>71.412297002989362</v>
      </c>
      <c r="X30" s="4">
        <f>IF(AND($C$4=$A30,X$3&lt;&gt;""),X$3,'EBA2017'!X30)</f>
        <v>2</v>
      </c>
      <c r="Y30" s="4">
        <f>IF(AND($C$4=$A30,Y$3&lt;&gt;""),Y$3,'EBA2017'!Y30)</f>
        <v>7</v>
      </c>
      <c r="Z30" s="4">
        <f>IF(AND($C$4=$A30,Z$3&lt;&gt;""),Z$3,'EBA2017'!Z30)</f>
        <v>5</v>
      </c>
      <c r="AA30" s="12">
        <f>IF(AND($C$4=$A30,AA$3&lt;&gt;""),AA$3,'EBA2017'!AA30)</f>
        <v>170</v>
      </c>
      <c r="AB30" s="4" t="str">
        <f>IF(AND($C$4=$A30,AB$3&lt;&gt;""),AB$3,'EBA2017'!AB30)</f>
        <v>No data</v>
      </c>
      <c r="AC30" s="12">
        <f>IF(AND($C$4=$A30,AC$3&lt;&gt;""),AC$3,'EBA2017'!AC30)</f>
        <v>6</v>
      </c>
      <c r="AD30" s="4">
        <f>IF(AND($C$4=$A30,AD$3&lt;&gt;""),AD$3,'EBA2017'!AD30)</f>
        <v>0.37206652987495276</v>
      </c>
      <c r="AE30" s="30">
        <f t="shared" si="4"/>
        <v>6</v>
      </c>
      <c r="AF30" s="31">
        <f>100*AVERAGE(IF(VLOOKUP(A30,'Data Gaps'!A:O,15,FALSE)="X",Calculator!AH30/4,AVERAGE(AG30/5,AH30/4)),AVERAGE(AI30/5,AJ30/8),IF(VLOOKUP(A30,'Data Gaps'!A:O,15,FALSE)="X",Calculator!AL30/7,AVERAGE(AK30/7,AL30/7)))</f>
        <v>81.071428571428555</v>
      </c>
      <c r="AG30" s="4" t="str">
        <f>IF(AND($C$4=$A30,AG$3&lt;&gt;""),AG$3,'EBA2017'!AG30)</f>
        <v>N/A</v>
      </c>
      <c r="AH30" s="4">
        <f>IF(AND($C$4=$A30,AH$3&lt;&gt;""),AH$3,'EBA2017'!AH30)</f>
        <v>3.75</v>
      </c>
      <c r="AI30" s="4">
        <f>IF(AND($C$4=$A30,AI$3&lt;&gt;""),AI$3,'EBA2017'!AI30)</f>
        <v>4.5</v>
      </c>
      <c r="AJ30" s="4">
        <f>IF(AND($C$4=$A30,AJ$3&lt;&gt;""),AJ$3,'EBA2017'!AJ30)</f>
        <v>3</v>
      </c>
      <c r="AK30" s="4" t="str">
        <f>IF(AND($C$4=$A30,AK$3&lt;&gt;""),AK$3,'EBA2017'!AK30)</f>
        <v>N/A</v>
      </c>
      <c r="AL30" s="4">
        <f>IF(AND($C$4=$A30,AL$3&lt;&gt;""),AL$3,'EBA2017'!AL30)</f>
        <v>6</v>
      </c>
      <c r="AM30" s="30">
        <f t="shared" si="5"/>
        <v>4</v>
      </c>
      <c r="AN30" s="31">
        <f>VLOOKUP($A30,'Mark Base Calc'!$A:$Z,21,FALSE)</f>
        <v>81.853632478632491</v>
      </c>
      <c r="AO30" s="4">
        <f>IF(AND($C$4=$A30,AO$3&lt;&gt;""),AO$3,'EBA2017'!AO30)</f>
        <v>8.8000000000000007</v>
      </c>
      <c r="AP30" s="4">
        <f>IF(AND($C$4=$A30,AP$3&lt;&gt;""),AP$3,'EBA2017'!AP30)</f>
        <v>7</v>
      </c>
      <c r="AQ30" s="4">
        <f>IF(AND($C$4=$A30,AQ$3&lt;&gt;""),AQ$3,'EBA2017'!AQ30)</f>
        <v>6.5</v>
      </c>
      <c r="AR30" s="12">
        <f>IF(AND($C$4=$A30,AR$3&lt;&gt;""),AR$3,'EBA2017'!AR30)</f>
        <v>0</v>
      </c>
      <c r="AS30" s="12">
        <f>IF(AND($C$4=$A30,AS$3&lt;&gt;""),AS$3,'EBA2017'!AS30)</f>
        <v>0</v>
      </c>
      <c r="AT30" s="4">
        <f>IF(AND($C$4=$A30,AT$3&lt;&gt;""),AT$3,'EBA2017'!AT30)</f>
        <v>0</v>
      </c>
      <c r="AU30" s="30">
        <f t="shared" si="6"/>
        <v>4</v>
      </c>
      <c r="AV30" s="31">
        <f t="shared" si="7"/>
        <v>86.313944254907994</v>
      </c>
      <c r="AW30" s="4">
        <f>IF(AND($C$4=$A30,AW$3&lt;&gt;""),AW$3,'EBA2017'!AW30)</f>
        <v>9.8333333333333321</v>
      </c>
      <c r="AX30" s="4">
        <f>IF(AND($C$4=$A30,AX$3&lt;&gt;""),AX$3,'EBA2017'!AX30)</f>
        <v>30</v>
      </c>
      <c r="AY30" s="4">
        <f>IF(AND($C$4=$A30,AY$3&lt;&gt;""),AY$3,'EBA2017'!AY30)</f>
        <v>0.68460241496991303</v>
      </c>
      <c r="AZ30" s="4">
        <f>IF(AND($C$4=$A30,AZ$3&lt;&gt;""),AZ$3,'EBA2017'!AZ30)</f>
        <v>9</v>
      </c>
      <c r="BA30" s="12">
        <f>IF(AND($C$4=$A30,BA$3&lt;&gt;""),BA$3,'EBA2017'!BA30)</f>
        <v>30</v>
      </c>
      <c r="BB30" s="4">
        <f>IF(AND($C$4=$A30,BB$3&lt;&gt;""),BB$3,'EBA2017'!BB30)</f>
        <v>0.15701207560723007</v>
      </c>
      <c r="BC30" s="30">
        <f t="shared" si="8"/>
        <v>10</v>
      </c>
      <c r="BD30" s="31">
        <f t="shared" si="9"/>
        <v>74.09482758620689</v>
      </c>
      <c r="BE30" s="4">
        <f>IF(AND($C$4=$A30,BE$3&lt;&gt;""),BE$3,'EBA2017'!BE30)</f>
        <v>20.5</v>
      </c>
      <c r="BF30" s="4">
        <f>IF(AND($C$4=$A30,BF$3&lt;&gt;""),BF$3,'EBA2017'!BF30)</f>
        <v>15.5</v>
      </c>
      <c r="BG30" s="30">
        <f t="shared" si="10"/>
        <v>6</v>
      </c>
      <c r="BH30" s="31">
        <f t="shared" si="11"/>
        <v>94.444444444444443</v>
      </c>
      <c r="BI30" s="4">
        <f>IF(AND($C$4=$A30,BI$3&lt;&gt;""),BI$3,'EBA2017'!BI30)</f>
        <v>8.5</v>
      </c>
    </row>
    <row r="31" spans="1:61" x14ac:dyDescent="0.2">
      <c r="A31" s="2" t="s">
        <v>66</v>
      </c>
      <c r="B31" s="3" t="s">
        <v>67</v>
      </c>
      <c r="C31" s="3" t="s">
        <v>49</v>
      </c>
      <c r="D31" s="3" t="s">
        <v>50</v>
      </c>
      <c r="E31" s="3" t="s">
        <v>25</v>
      </c>
      <c r="F31" s="3" t="s">
        <v>161</v>
      </c>
      <c r="G31" s="3" t="s">
        <v>158</v>
      </c>
      <c r="H31" s="30">
        <f t="shared" si="1"/>
        <v>22</v>
      </c>
      <c r="I31" s="31">
        <f>VLOOKUP($A31,'Seed Base Calc'!$A:$S,19,FALSE)</f>
        <v>66.343386142583512</v>
      </c>
      <c r="J31" s="4">
        <f>IF(AND($C$4=$A31,J$3&lt;&gt;""),J$3,'EBA2017'!J31)</f>
        <v>10</v>
      </c>
      <c r="K31" s="4">
        <f>IF(AND($C$4=$A31,K$3&lt;&gt;""),K$3,'EBA2017'!K31)</f>
        <v>6</v>
      </c>
      <c r="L31" s="4">
        <f>IF(AND($C$4=$A31,L$3&lt;&gt;""),L$3,'EBA2017'!L31)</f>
        <v>3</v>
      </c>
      <c r="M31" s="12">
        <f>IF(AND($C$4=$A31,M$3&lt;&gt;""),M$3,'EBA2017'!M31)</f>
        <v>514</v>
      </c>
      <c r="N31" s="4">
        <f>IF(AND($C$4=$A31,N$3&lt;&gt;""),N$3,'EBA2017'!N31)</f>
        <v>57.767487237509265</v>
      </c>
      <c r="O31" s="30">
        <f t="shared" si="2"/>
        <v>16</v>
      </c>
      <c r="P31" s="31">
        <f>VLOOKUP($A31,'Fert Base Calc'!$A:$S,19,FALSE)</f>
        <v>70.607932764137814</v>
      </c>
      <c r="Q31" s="4">
        <f>IF(AND($C$4=$A31,Q$3&lt;&gt;""),Q$3,'EBA2017'!Q31)</f>
        <v>4.4000000000000004</v>
      </c>
      <c r="R31" s="4">
        <f>IF(AND($C$4=$A31,R$3&lt;&gt;""),R$3,'EBA2017'!R31)</f>
        <v>3.5</v>
      </c>
      <c r="S31" s="4">
        <f>IF(AND($C$4=$A31,S$3&lt;&gt;""),S$3,'EBA2017'!S31)</f>
        <v>5</v>
      </c>
      <c r="T31" s="12">
        <f>IF(AND($C$4=$A31,T$3&lt;&gt;""),T$3,'EBA2017'!T31)</f>
        <v>45</v>
      </c>
      <c r="U31" s="4">
        <f>IF(AND($C$4=$A31,U$3&lt;&gt;""),U$3,'EBA2017'!U31)</f>
        <v>0.86651230856263894</v>
      </c>
      <c r="V31" s="30">
        <f t="shared" si="3"/>
        <v>33</v>
      </c>
      <c r="W31" s="31">
        <f>VLOOKUP($A31,'Mech Base Calc'!$A:$Z,24,FALSE)</f>
        <v>51.453093116674012</v>
      </c>
      <c r="X31" s="4">
        <f>IF(AND($C$4=$A31,X$3&lt;&gt;""),X$3,'EBA2017'!X31)</f>
        <v>4</v>
      </c>
      <c r="Y31" s="4">
        <f>IF(AND($C$4=$A31,Y$3&lt;&gt;""),Y$3,'EBA2017'!Y31)</f>
        <v>1.1666666666666665</v>
      </c>
      <c r="Z31" s="4">
        <f>IF(AND($C$4=$A31,Z$3&lt;&gt;""),Z$3,'EBA2017'!Z31)</f>
        <v>4.5</v>
      </c>
      <c r="AA31" s="12" t="str">
        <f>IF(AND($C$4=$A31,AA$3&lt;&gt;""),AA$3,'EBA2017'!AA31)</f>
        <v>N/A</v>
      </c>
      <c r="AB31" s="4" t="str">
        <f>IF(AND($C$4=$A31,AB$3&lt;&gt;""),AB$3,'EBA2017'!AB31)</f>
        <v>N/A</v>
      </c>
      <c r="AC31" s="12">
        <f>IF(AND($C$4=$A31,AC$3&lt;&gt;""),AC$3,'EBA2017'!AC31)</f>
        <v>1</v>
      </c>
      <c r="AD31" s="4">
        <f>IF(AND($C$4=$A31,AD$3&lt;&gt;""),AD$3,'EBA2017'!AD31)</f>
        <v>20.218620533128242</v>
      </c>
      <c r="AE31" s="30">
        <f t="shared" si="4"/>
        <v>62</v>
      </c>
      <c r="AF31" s="31">
        <f>100*AVERAGE(IF(VLOOKUP(A31,'Data Gaps'!A:O,15,FALSE)="X",Calculator!AH31/4,AVERAGE(AG31/5,AH31/4)),AVERAGE(AI31/5,AJ31/8),IF(VLOOKUP(A31,'Data Gaps'!A:O,15,FALSE)="X",Calculator!AL31/7,AVERAGE(AK31/7,AL31/7)))</f>
        <v>4.1666666666666661</v>
      </c>
      <c r="AG31" s="4">
        <f>IF(AND($C$4=$A31,AG$3&lt;&gt;""),AG$3,'EBA2017'!AG31)</f>
        <v>0</v>
      </c>
      <c r="AH31" s="4">
        <f>IF(AND($C$4=$A31,AH$3&lt;&gt;""),AH$3,'EBA2017'!AH31)</f>
        <v>1</v>
      </c>
      <c r="AI31" s="4">
        <f>IF(AND($C$4=$A31,AI$3&lt;&gt;""),AI$3,'EBA2017'!AI31)</f>
        <v>0</v>
      </c>
      <c r="AJ31" s="4">
        <f>IF(AND($C$4=$A31,AJ$3&lt;&gt;""),AJ$3,'EBA2017'!AJ31)</f>
        <v>0</v>
      </c>
      <c r="AK31" s="4">
        <f>IF(AND($C$4=$A31,AK$3&lt;&gt;""),AK$3,'EBA2017'!AK31)</f>
        <v>0</v>
      </c>
      <c r="AL31" s="4">
        <f>IF(AND($C$4=$A31,AL$3&lt;&gt;""),AL$3,'EBA2017'!AL31)</f>
        <v>0</v>
      </c>
      <c r="AM31" s="30">
        <f t="shared" si="5"/>
        <v>25</v>
      </c>
      <c r="AN31" s="31">
        <f>VLOOKUP($A31,'Mark Base Calc'!$A:$Z,21,FALSE)</f>
        <v>63.931409810000027</v>
      </c>
      <c r="AO31" s="4">
        <f>IF(AND($C$4=$A31,AO$3&lt;&gt;""),AO$3,'EBA2017'!AO31)</f>
        <v>5.85</v>
      </c>
      <c r="AP31" s="4">
        <f>IF(AND($C$4=$A31,AP$3&lt;&gt;""),AP$3,'EBA2017'!AP31)</f>
        <v>4.5</v>
      </c>
      <c r="AQ31" s="4">
        <f>IF(AND($C$4=$A31,AQ$3&lt;&gt;""),AQ$3,'EBA2017'!AQ31)</f>
        <v>6</v>
      </c>
      <c r="AR31" s="12">
        <f>IF(AND($C$4=$A31,AR$3&lt;&gt;""),AR$3,'EBA2017'!AR31)</f>
        <v>1</v>
      </c>
      <c r="AS31" s="12">
        <f>IF(AND($C$4=$A31,AS$3&lt;&gt;""),AS$3,'EBA2017'!AS31)</f>
        <v>1</v>
      </c>
      <c r="AT31" s="4">
        <f>IF(AND($C$4=$A31,AT$3&lt;&gt;""),AT$3,'EBA2017'!AT31)</f>
        <v>0.12997684628439585</v>
      </c>
      <c r="AU31" s="30">
        <f t="shared" si="6"/>
        <v>22</v>
      </c>
      <c r="AV31" s="31">
        <f t="shared" si="7"/>
        <v>66.829009592922944</v>
      </c>
      <c r="AW31" s="4">
        <f>IF(AND($C$4=$A31,AW$3&lt;&gt;""),AW$3,'EBA2017'!AW31)</f>
        <v>4.5000000000000009</v>
      </c>
      <c r="AX31" s="4">
        <f>IF(AND($C$4=$A31,AX$3&lt;&gt;""),AX$3,'EBA2017'!AX31)</f>
        <v>4</v>
      </c>
      <c r="AY31" s="4">
        <f>IF(AND($C$4=$A31,AY$3&lt;&gt;""),AY$3,'EBA2017'!AY31)</f>
        <v>15.452802836033728</v>
      </c>
      <c r="AZ31" s="4">
        <f>IF(AND($C$4=$A31,AZ$3&lt;&gt;""),AZ$3,'EBA2017'!AZ31)</f>
        <v>5</v>
      </c>
      <c r="BA31" s="12">
        <f>IF(AND($C$4=$A31,BA$3&lt;&gt;""),BA$3,'EBA2017'!BA31)</f>
        <v>4</v>
      </c>
      <c r="BB31" s="4">
        <f>IF(AND($C$4=$A31,BB$3&lt;&gt;""),BB$3,'EBA2017'!BB31)</f>
        <v>0.47008547008547008</v>
      </c>
      <c r="BC31" s="30">
        <f t="shared" si="8"/>
        <v>41</v>
      </c>
      <c r="BD31" s="31">
        <f t="shared" si="9"/>
        <v>37.327586206896548</v>
      </c>
      <c r="BE31" s="4">
        <f>IF(AND($C$4=$A31,BE$3&lt;&gt;""),BE$3,'EBA2017'!BE31)</f>
        <v>11.5</v>
      </c>
      <c r="BF31" s="4">
        <f>IF(AND($C$4=$A31,BF$3&lt;&gt;""),BF$3,'EBA2017'!BF31)</f>
        <v>7</v>
      </c>
      <c r="BG31" s="30">
        <f t="shared" si="10"/>
        <v>22</v>
      </c>
      <c r="BH31" s="31">
        <f t="shared" si="11"/>
        <v>61.111111111111114</v>
      </c>
      <c r="BI31" s="4">
        <f>IF(AND($C$4=$A31,BI$3&lt;&gt;""),BI$3,'EBA2017'!BI31)</f>
        <v>5.5</v>
      </c>
    </row>
    <row r="32" spans="1:61" x14ac:dyDescent="0.2">
      <c r="A32" s="2" t="s">
        <v>68</v>
      </c>
      <c r="B32" s="3" t="s">
        <v>69</v>
      </c>
      <c r="C32" s="3" t="s">
        <v>7</v>
      </c>
      <c r="D32" s="3" t="s">
        <v>8</v>
      </c>
      <c r="E32" s="3" t="s">
        <v>25</v>
      </c>
      <c r="F32" s="3" t="s">
        <v>162</v>
      </c>
      <c r="G32" s="3" t="s">
        <v>163</v>
      </c>
      <c r="H32" s="30">
        <f t="shared" si="1"/>
        <v>35</v>
      </c>
      <c r="I32" s="31">
        <f>VLOOKUP($A32,'Seed Base Calc'!$A:$S,19,FALSE)</f>
        <v>53.645833333333336</v>
      </c>
      <c r="J32" s="4">
        <f>IF(AND($C$4=$A32,J$3&lt;&gt;""),J$3,'EBA2017'!J32)</f>
        <v>10</v>
      </c>
      <c r="K32" s="4">
        <f>IF(AND($C$4=$A32,K$3&lt;&gt;""),K$3,'EBA2017'!K32)</f>
        <v>6.5</v>
      </c>
      <c r="L32" s="4">
        <f>IF(AND($C$4=$A32,L$3&lt;&gt;""),L$3,'EBA2017'!L32)</f>
        <v>4</v>
      </c>
      <c r="M32" s="12" t="str">
        <f>IF(AND($C$4=$A32,M$3&lt;&gt;""),M$3,'EBA2017'!M32)</f>
        <v>No practice</v>
      </c>
      <c r="N32" s="4" t="str">
        <f>IF(AND($C$4=$A32,N$3&lt;&gt;""),N$3,'EBA2017'!N32)</f>
        <v>No practice</v>
      </c>
      <c r="O32" s="30">
        <f t="shared" si="2"/>
        <v>14</v>
      </c>
      <c r="P32" s="31">
        <f>VLOOKUP($A32,'Fert Base Calc'!$A:$S,19,FALSE)</f>
        <v>73.140602068702293</v>
      </c>
      <c r="Q32" s="4">
        <f>IF(AND($C$4=$A32,Q$3&lt;&gt;""),Q$3,'EBA2017'!Q32)</f>
        <v>2.8999999999999995</v>
      </c>
      <c r="R32" s="4">
        <f>IF(AND($C$4=$A32,R$3&lt;&gt;""),R$3,'EBA2017'!R32)</f>
        <v>5</v>
      </c>
      <c r="S32" s="4">
        <f>IF(AND($C$4=$A32,S$3&lt;&gt;""),S$3,'EBA2017'!S32)</f>
        <v>6.5</v>
      </c>
      <c r="T32" s="12">
        <f>IF(AND($C$4=$A32,T$3&lt;&gt;""),T$3,'EBA2017'!T32)</f>
        <v>246</v>
      </c>
      <c r="U32" s="4">
        <f>IF(AND($C$4=$A32,U$3&lt;&gt;""),U$3,'EBA2017'!U32)</f>
        <v>11.699475447072128</v>
      </c>
      <c r="V32" s="30">
        <f t="shared" si="3"/>
        <v>9</v>
      </c>
      <c r="W32" s="31">
        <f>VLOOKUP($A32,'Mech Base Calc'!$A:$Z,24,FALSE)</f>
        <v>81.440919890200391</v>
      </c>
      <c r="X32" s="4">
        <f>IF(AND($C$4=$A32,X$3&lt;&gt;""),X$3,'EBA2017'!X32)</f>
        <v>2.5</v>
      </c>
      <c r="Y32" s="4">
        <f>IF(AND($C$4=$A32,Y$3&lt;&gt;""),Y$3,'EBA2017'!Y32)</f>
        <v>6.1666666666666661</v>
      </c>
      <c r="Z32" s="4">
        <f>IF(AND($C$4=$A32,Z$3&lt;&gt;""),Z$3,'EBA2017'!Z32)</f>
        <v>5</v>
      </c>
      <c r="AA32" s="12">
        <f>IF(AND($C$4=$A32,AA$3&lt;&gt;""),AA$3,'EBA2017'!AA32)</f>
        <v>15</v>
      </c>
      <c r="AB32" s="4">
        <f>IF(AND($C$4=$A32,AB$3&lt;&gt;""),AB$3,'EBA2017'!AB32)</f>
        <v>6.868576583408295</v>
      </c>
      <c r="AC32" s="12">
        <f>IF(AND($C$4=$A32,AC$3&lt;&gt;""),AC$3,'EBA2017'!AC32)</f>
        <v>10</v>
      </c>
      <c r="AD32" s="4">
        <f>IF(AND($C$4=$A32,AD$3&lt;&gt;""),AD$3,'EBA2017'!AD32)</f>
        <v>2.4280418222348318E-2</v>
      </c>
      <c r="AE32" s="30">
        <f t="shared" si="4"/>
        <v>50</v>
      </c>
      <c r="AF32" s="31">
        <f>100*AVERAGE(IF(VLOOKUP(A32,'Data Gaps'!A:O,15,FALSE)="X",Calculator!AH32/4,AVERAGE(AG32/5,AH32/4)),AVERAGE(AI32/5,AJ32/8),IF(VLOOKUP(A32,'Data Gaps'!A:O,15,FALSE)="X",Calculator!AL32/7,AVERAGE(AK32/7,AL32/7)))</f>
        <v>36.726190476190474</v>
      </c>
      <c r="AG32" s="4">
        <f>IF(AND($C$4=$A32,AG$3&lt;&gt;""),AG$3,'EBA2017'!AG32)</f>
        <v>0</v>
      </c>
      <c r="AH32" s="4">
        <f>IF(AND($C$4=$A32,AH$3&lt;&gt;""),AH$3,'EBA2017'!AH32)</f>
        <v>1</v>
      </c>
      <c r="AI32" s="4">
        <f>IF(AND($C$4=$A32,AI$3&lt;&gt;""),AI$3,'EBA2017'!AI32)</f>
        <v>4.5</v>
      </c>
      <c r="AJ32" s="4">
        <f>IF(AND($C$4=$A32,AJ$3&lt;&gt;""),AJ$3,'EBA2017'!AJ32)</f>
        <v>5</v>
      </c>
      <c r="AK32" s="4">
        <f>IF(AND($C$4=$A32,AK$3&lt;&gt;""),AK$3,'EBA2017'!AK32)</f>
        <v>0</v>
      </c>
      <c r="AL32" s="4">
        <f>IF(AND($C$4=$A32,AL$3&lt;&gt;""),AL$3,'EBA2017'!AL32)</f>
        <v>3</v>
      </c>
      <c r="AM32" s="30">
        <f t="shared" si="5"/>
        <v>16</v>
      </c>
      <c r="AN32" s="31">
        <f>VLOOKUP($A32,'Mark Base Calc'!$A:$Z,21,FALSE)</f>
        <v>70.835394546171514</v>
      </c>
      <c r="AO32" s="4">
        <f>IF(AND($C$4=$A32,AO$3&lt;&gt;""),AO$3,'EBA2017'!AO32)</f>
        <v>10.5</v>
      </c>
      <c r="AP32" s="4">
        <f>IF(AND($C$4=$A32,AP$3&lt;&gt;""),AP$3,'EBA2017'!AP32)</f>
        <v>5.5</v>
      </c>
      <c r="AQ32" s="4">
        <f>IF(AND($C$4=$A32,AQ$3&lt;&gt;""),AQ$3,'EBA2017'!AQ32)</f>
        <v>7</v>
      </c>
      <c r="AR32" s="12">
        <f>IF(AND($C$4=$A32,AR$3&lt;&gt;""),AR$3,'EBA2017'!AR32)</f>
        <v>3</v>
      </c>
      <c r="AS32" s="12">
        <f>IF(AND($C$4=$A32,AS$3&lt;&gt;""),AS$3,'EBA2017'!AS32)</f>
        <v>5</v>
      </c>
      <c r="AT32" s="4">
        <f>IF(AND($C$4=$A32,AT$3&lt;&gt;""),AT$3,'EBA2017'!AT32)</f>
        <v>0.59756616275652152</v>
      </c>
      <c r="AU32" s="30">
        <f t="shared" si="6"/>
        <v>55</v>
      </c>
      <c r="AV32" s="31">
        <f t="shared" si="7"/>
        <v>19.444444444444443</v>
      </c>
      <c r="AW32" s="4">
        <f>IF(AND($C$4=$A32,AW$3&lt;&gt;""),AW$3,'EBA2017'!AW32)</f>
        <v>3.6666666666666661</v>
      </c>
      <c r="AX32" s="4" t="str">
        <f>IF(AND($C$4=$A32,AX$3&lt;&gt;""),AX$3,'EBA2017'!AX32)</f>
        <v>N/A</v>
      </c>
      <c r="AY32" s="4" t="str">
        <f>IF(AND($C$4=$A32,AY$3&lt;&gt;""),AY$3,'EBA2017'!AY32)</f>
        <v>N/A</v>
      </c>
      <c r="AZ32" s="4">
        <f>IF(AND($C$4=$A32,AZ$3&lt;&gt;""),AZ$3,'EBA2017'!AZ32)</f>
        <v>4</v>
      </c>
      <c r="BA32" s="12" t="str">
        <f>IF(AND($C$4=$A32,BA$3&lt;&gt;""),BA$3,'EBA2017'!BA32)</f>
        <v>N/A</v>
      </c>
      <c r="BB32" s="4" t="str">
        <f>IF(AND($C$4=$A32,BB$3&lt;&gt;""),BB$3,'EBA2017'!BB32)</f>
        <v>N/A</v>
      </c>
      <c r="BC32" s="30">
        <f t="shared" si="8"/>
        <v>18</v>
      </c>
      <c r="BD32" s="31">
        <f t="shared" si="9"/>
        <v>65.732758620689651</v>
      </c>
      <c r="BE32" s="4">
        <f>IF(AND($C$4=$A32,BE$3&lt;&gt;""),BE$3,'EBA2017'!BE32)</f>
        <v>20</v>
      </c>
      <c r="BF32" s="4">
        <f>IF(AND($C$4=$A32,BF$3&lt;&gt;""),BF$3,'EBA2017'!BF32)</f>
        <v>12.5</v>
      </c>
      <c r="BG32" s="30">
        <f t="shared" si="10"/>
        <v>22</v>
      </c>
      <c r="BH32" s="31">
        <f t="shared" si="11"/>
        <v>61.111111111111114</v>
      </c>
      <c r="BI32" s="4">
        <f>IF(AND($C$4=$A32,BI$3&lt;&gt;""),BI$3,'EBA2017'!BI32)</f>
        <v>5.5</v>
      </c>
    </row>
    <row r="33" spans="1:61" x14ac:dyDescent="0.2">
      <c r="A33" s="2" t="s">
        <v>70</v>
      </c>
      <c r="B33" s="3" t="s">
        <v>71</v>
      </c>
      <c r="C33" s="3" t="s">
        <v>16</v>
      </c>
      <c r="D33" s="3" t="s">
        <v>17</v>
      </c>
      <c r="E33" s="3" t="s">
        <v>9</v>
      </c>
      <c r="F33" s="3" t="s">
        <v>160</v>
      </c>
      <c r="G33" s="3" t="s">
        <v>158</v>
      </c>
      <c r="H33" s="30">
        <f t="shared" si="1"/>
        <v>7</v>
      </c>
      <c r="I33" s="31">
        <f>VLOOKUP($A33,'Seed Base Calc'!$A:$S,19,FALSE)</f>
        <v>79.240572933420211</v>
      </c>
      <c r="J33" s="4">
        <f>IF(AND($C$4=$A33,J$3&lt;&gt;""),J$3,'EBA2017'!J33)</f>
        <v>10</v>
      </c>
      <c r="K33" s="4">
        <f>IF(AND($C$4=$A33,K$3&lt;&gt;""),K$3,'EBA2017'!K33)</f>
        <v>7</v>
      </c>
      <c r="L33" s="4">
        <f>IF(AND($C$4=$A33,L$3&lt;&gt;""),L$3,'EBA2017'!L33)</f>
        <v>6</v>
      </c>
      <c r="M33" s="12">
        <f>IF(AND($C$4=$A33,M$3&lt;&gt;""),M$3,'EBA2017'!M33)</f>
        <v>322</v>
      </c>
      <c r="N33" s="4">
        <f>IF(AND($C$4=$A33,N$3&lt;&gt;""),N$3,'EBA2017'!N33)</f>
        <v>123.167870074373</v>
      </c>
      <c r="O33" s="30">
        <f t="shared" si="2"/>
        <v>43</v>
      </c>
      <c r="P33" s="31">
        <f>VLOOKUP($A33,'Fert Base Calc'!$A:$S,19,FALSE)</f>
        <v>41.071428571428569</v>
      </c>
      <c r="Q33" s="4">
        <f>IF(AND($C$4=$A33,Q$3&lt;&gt;""),Q$3,'EBA2017'!Q33)</f>
        <v>1.5</v>
      </c>
      <c r="R33" s="4">
        <f>IF(AND($C$4=$A33,R$3&lt;&gt;""),R$3,'EBA2017'!R33)</f>
        <v>4</v>
      </c>
      <c r="S33" s="4">
        <f>IF(AND($C$4=$A33,S$3&lt;&gt;""),S$3,'EBA2017'!S33)</f>
        <v>6</v>
      </c>
      <c r="T33" s="12" t="str">
        <f>IF(AND($C$4=$A33,T$3&lt;&gt;""),T$3,'EBA2017'!T33)</f>
        <v>N/A</v>
      </c>
      <c r="U33" s="4" t="str">
        <f>IF(AND($C$4=$A33,U$3&lt;&gt;""),U$3,'EBA2017'!U33)</f>
        <v>N/A</v>
      </c>
      <c r="V33" s="30">
        <f t="shared" si="3"/>
        <v>29</v>
      </c>
      <c r="W33" s="31">
        <f>VLOOKUP($A33,'Mech Base Calc'!$A:$Z,24,FALSE)</f>
        <v>53.813188857999172</v>
      </c>
      <c r="X33" s="4">
        <f>IF(AND($C$4=$A33,X$3&lt;&gt;""),X$3,'EBA2017'!X33)</f>
        <v>2.5</v>
      </c>
      <c r="Y33" s="4">
        <f>IF(AND($C$4=$A33,Y$3&lt;&gt;""),Y$3,'EBA2017'!Y33)</f>
        <v>2.6666666666666661</v>
      </c>
      <c r="Z33" s="4">
        <f>IF(AND($C$4=$A33,Z$3&lt;&gt;""),Z$3,'EBA2017'!Z33)</f>
        <v>5</v>
      </c>
      <c r="AA33" s="12" t="str">
        <f>IF(AND($C$4=$A33,AA$3&lt;&gt;""),AA$3,'EBA2017'!AA33)</f>
        <v>N/A</v>
      </c>
      <c r="AB33" s="4" t="str">
        <f>IF(AND($C$4=$A33,AB$3&lt;&gt;""),AB$3,'EBA2017'!AB33)</f>
        <v>N/A</v>
      </c>
      <c r="AC33" s="12">
        <f>IF(AND($C$4=$A33,AC$3&lt;&gt;""),AC$3,'EBA2017'!AC33)</f>
        <v>7</v>
      </c>
      <c r="AD33" s="4">
        <f>IF(AND($C$4=$A33,AD$3&lt;&gt;""),AD$3,'EBA2017'!AD33)</f>
        <v>2.0416007554752129</v>
      </c>
      <c r="AE33" s="30">
        <f t="shared" si="4"/>
        <v>10</v>
      </c>
      <c r="AF33" s="31">
        <f>100*AVERAGE(IF(VLOOKUP(A33,'Data Gaps'!A:O,15,FALSE)="X",Calculator!AH33/4,AVERAGE(AG33/5,AH33/4)),AVERAGE(AI33/5,AJ33/8),IF(VLOOKUP(A33,'Data Gaps'!A:O,15,FALSE)="X",Calculator!AL33/7,AVERAGE(AK33/7,AL33/7)))</f>
        <v>74.333333333333329</v>
      </c>
      <c r="AG33" s="4">
        <f>IF(AND($C$4=$A33,AG$3&lt;&gt;""),AG$3,'EBA2017'!AG33)</f>
        <v>4.1749999999999998</v>
      </c>
      <c r="AH33" s="4">
        <f>IF(AND($C$4=$A33,AH$3&lt;&gt;""),AH$3,'EBA2017'!AH33)</f>
        <v>4</v>
      </c>
      <c r="AI33" s="4">
        <f>IF(AND($C$4=$A33,AI$3&lt;&gt;""),AI$3,'EBA2017'!AI33)</f>
        <v>0</v>
      </c>
      <c r="AJ33" s="4">
        <f>IF(AND($C$4=$A33,AJ$3&lt;&gt;""),AJ$3,'EBA2017'!AJ33)</f>
        <v>5</v>
      </c>
      <c r="AK33" s="4">
        <f>IF(AND($C$4=$A33,AK$3&lt;&gt;""),AK$3,'EBA2017'!AK33)</f>
        <v>7</v>
      </c>
      <c r="AL33" s="4">
        <f>IF(AND($C$4=$A33,AL$3&lt;&gt;""),AL$3,'EBA2017'!AL33)</f>
        <v>7</v>
      </c>
      <c r="AM33" s="30">
        <f t="shared" si="5"/>
        <v>59</v>
      </c>
      <c r="AN33" s="31">
        <f>VLOOKUP($A33,'Mark Base Calc'!$A:$Z,21,FALSE)</f>
        <v>32.9819832944833</v>
      </c>
      <c r="AO33" s="4">
        <f>IF(AND($C$4=$A33,AO$3&lt;&gt;""),AO$3,'EBA2017'!AO33)</f>
        <v>6.9</v>
      </c>
      <c r="AP33" s="4">
        <f>IF(AND($C$4=$A33,AP$3&lt;&gt;""),AP$3,'EBA2017'!AP33)</f>
        <v>1.5</v>
      </c>
      <c r="AQ33" s="4">
        <f>IF(AND($C$4=$A33,AQ$3&lt;&gt;""),AQ$3,'EBA2017'!AQ33)</f>
        <v>3.5</v>
      </c>
      <c r="AR33" s="12">
        <f>IF(AND($C$4=$A33,AR$3&lt;&gt;""),AR$3,'EBA2017'!AR33)</f>
        <v>4</v>
      </c>
      <c r="AS33" s="12">
        <f>IF(AND($C$4=$A33,AS$3&lt;&gt;""),AS$3,'EBA2017'!AS33)</f>
        <v>4</v>
      </c>
      <c r="AT33" s="4">
        <f>IF(AND($C$4=$A33,AT$3&lt;&gt;""),AT$3,'EBA2017'!AT33)</f>
        <v>5.5985395488351362</v>
      </c>
      <c r="AU33" s="30">
        <f t="shared" si="6"/>
        <v>16</v>
      </c>
      <c r="AV33" s="31">
        <f t="shared" si="7"/>
        <v>68.688481862808956</v>
      </c>
      <c r="AW33" s="4">
        <f>IF(AND($C$4=$A33,AW$3&lt;&gt;""),AW$3,'EBA2017'!AW33)</f>
        <v>3.5</v>
      </c>
      <c r="AX33" s="4">
        <f>IF(AND($C$4=$A33,AX$3&lt;&gt;""),AX$3,'EBA2017'!AX33)</f>
        <v>1</v>
      </c>
      <c r="AY33" s="4">
        <f>IF(AND($C$4=$A33,AY$3&lt;&gt;""),AY$3,'EBA2017'!AY33)</f>
        <v>2.2394158195340546</v>
      </c>
      <c r="AZ33" s="4">
        <f>IF(AND($C$4=$A33,AZ$3&lt;&gt;""),AZ$3,'EBA2017'!AZ33)</f>
        <v>5.9999999999999991</v>
      </c>
      <c r="BA33" s="12">
        <f>IF(AND($C$4=$A33,BA$3&lt;&gt;""),BA$3,'EBA2017'!BA33)</f>
        <v>10.25</v>
      </c>
      <c r="BB33" s="4">
        <f>IF(AND($C$4=$A33,BB$3&lt;&gt;""),BB$3,'EBA2017'!BB33)</f>
        <v>14.925373134328357</v>
      </c>
      <c r="BC33" s="30">
        <f t="shared" si="8"/>
        <v>4</v>
      </c>
      <c r="BD33" s="31">
        <f t="shared" si="9"/>
        <v>85.043103448275872</v>
      </c>
      <c r="BE33" s="4">
        <f>IF(AND($C$4=$A33,BE$3&lt;&gt;""),BE$3,'EBA2017'!BE33)</f>
        <v>22.500000000000004</v>
      </c>
      <c r="BF33" s="4">
        <f>IF(AND($C$4=$A33,BF$3&lt;&gt;""),BF$3,'EBA2017'!BF33)</f>
        <v>18.5</v>
      </c>
      <c r="BG33" s="30">
        <f t="shared" si="10"/>
        <v>12</v>
      </c>
      <c r="BH33" s="31">
        <f t="shared" si="11"/>
        <v>77.777777777777786</v>
      </c>
      <c r="BI33" s="4">
        <f>IF(AND($C$4=$A33,BI$3&lt;&gt;""),BI$3,'EBA2017'!BI33)</f>
        <v>7.0000000000000009</v>
      </c>
    </row>
    <row r="34" spans="1:61" x14ac:dyDescent="0.2">
      <c r="A34" s="2" t="s">
        <v>72</v>
      </c>
      <c r="B34" s="3" t="s">
        <v>73</v>
      </c>
      <c r="C34" s="3" t="s">
        <v>38</v>
      </c>
      <c r="D34" s="3" t="s">
        <v>39</v>
      </c>
      <c r="E34" s="3" t="s">
        <v>40</v>
      </c>
      <c r="F34" s="3" t="s">
        <v>161</v>
      </c>
      <c r="G34" s="3" t="s">
        <v>163</v>
      </c>
      <c r="H34" s="30">
        <f t="shared" si="1"/>
        <v>8</v>
      </c>
      <c r="I34" s="31">
        <f>VLOOKUP($A34,'Seed Base Calc'!$A:$S,19,FALSE)</f>
        <v>77.463715302509144</v>
      </c>
      <c r="J34" s="4">
        <f>IF(AND($C$4=$A34,J$3&lt;&gt;""),J$3,'EBA2017'!J34)</f>
        <v>9</v>
      </c>
      <c r="K34" s="4">
        <f>IF(AND($C$4=$A34,K$3&lt;&gt;""),K$3,'EBA2017'!K34)</f>
        <v>5</v>
      </c>
      <c r="L34" s="4">
        <f>IF(AND($C$4=$A34,L$3&lt;&gt;""),L$3,'EBA2017'!L34)</f>
        <v>5.25</v>
      </c>
      <c r="M34" s="12">
        <f>IF(AND($C$4=$A34,M$3&lt;&gt;""),M$3,'EBA2017'!M34)</f>
        <v>298</v>
      </c>
      <c r="N34" s="4">
        <f>IF(AND($C$4=$A34,N$3&lt;&gt;""),N$3,'EBA2017'!N34)</f>
        <v>1.9985471545960749</v>
      </c>
      <c r="O34" s="30">
        <f t="shared" si="2"/>
        <v>13</v>
      </c>
      <c r="P34" s="31">
        <f>VLOOKUP($A34,'Fert Base Calc'!$A:$S,19,FALSE)</f>
        <v>74.049193527088491</v>
      </c>
      <c r="Q34" s="4">
        <f>IF(AND($C$4=$A34,Q$3&lt;&gt;""),Q$3,'EBA2017'!Q34)</f>
        <v>4.5000000000000009</v>
      </c>
      <c r="R34" s="4">
        <f>IF(AND($C$4=$A34,R$3&lt;&gt;""),R$3,'EBA2017'!R34)</f>
        <v>4</v>
      </c>
      <c r="S34" s="4">
        <f>IF(AND($C$4=$A34,S$3&lt;&gt;""),S$3,'EBA2017'!S34)</f>
        <v>7</v>
      </c>
      <c r="T34" s="12">
        <f>IF(AND($C$4=$A34,T$3&lt;&gt;""),T$3,'EBA2017'!T34)</f>
        <v>459</v>
      </c>
      <c r="U34" s="4">
        <f>IF(AND($C$4=$A34,U$3&lt;&gt;""),U$3,'EBA2017'!U34)</f>
        <v>24.998008907811752</v>
      </c>
      <c r="V34" s="30">
        <f t="shared" si="3"/>
        <v>19</v>
      </c>
      <c r="W34" s="31">
        <f>VLOOKUP($A34,'Mech Base Calc'!$A:$Z,24,FALSE)</f>
        <v>59.875400668495729</v>
      </c>
      <c r="X34" s="4">
        <f>IF(AND($C$4=$A34,X$3&lt;&gt;""),X$3,'EBA2017'!X34)</f>
        <v>1</v>
      </c>
      <c r="Y34" s="4">
        <f>IF(AND($C$4=$A34,Y$3&lt;&gt;""),Y$3,'EBA2017'!Y34)</f>
        <v>7</v>
      </c>
      <c r="Z34" s="4">
        <f>IF(AND($C$4=$A34,Z$3&lt;&gt;""),Z$3,'EBA2017'!Z34)</f>
        <v>5</v>
      </c>
      <c r="AA34" s="12">
        <f>IF(AND($C$4=$A34,AA$3&lt;&gt;""),AA$3,'EBA2017'!AA34)</f>
        <v>45</v>
      </c>
      <c r="AB34" s="4">
        <f>IF(AND($C$4=$A34,AB$3&lt;&gt;""),AB$3,'EBA2017'!AB34)</f>
        <v>7.9715513528791666</v>
      </c>
      <c r="AC34" s="12" t="str">
        <f>IF(AND($C$4=$A34,AC$3&lt;&gt;""),AC$3,'EBA2017'!AC34)</f>
        <v>N/A</v>
      </c>
      <c r="AD34" s="4" t="str">
        <f>IF(AND($C$4=$A34,AD$3&lt;&gt;""),AD$3,'EBA2017'!AD34)</f>
        <v>N/A</v>
      </c>
      <c r="AE34" s="30">
        <f t="shared" si="4"/>
        <v>12</v>
      </c>
      <c r="AF34" s="31">
        <f>100*AVERAGE(IF(VLOOKUP(A34,'Data Gaps'!A:O,15,FALSE)="X",Calculator!AH34/4,AVERAGE(AG34/5,AH34/4)),AVERAGE(AI34/5,AJ34/8),IF(VLOOKUP(A34,'Data Gaps'!A:O,15,FALSE)="X",Calculator!AL34/7,AVERAGE(AK34/7,AL34/7)))</f>
        <v>67.876984126984127</v>
      </c>
      <c r="AG34" s="4" t="str">
        <f>IF(AND($C$4=$A34,AG$3&lt;&gt;""),AG$3,'EBA2017'!AG34)</f>
        <v>N/A</v>
      </c>
      <c r="AH34" s="4">
        <f>IF(AND($C$4=$A34,AH$3&lt;&gt;""),AH$3,'EBA2017'!AH34)</f>
        <v>2.1666666666666665</v>
      </c>
      <c r="AI34" s="4">
        <f>IF(AND($C$4=$A34,AI$3&lt;&gt;""),AI$3,'EBA2017'!AI34)</f>
        <v>3.25</v>
      </c>
      <c r="AJ34" s="4">
        <f>IF(AND($C$4=$A34,AJ$3&lt;&gt;""),AJ$3,'EBA2017'!AJ34)</f>
        <v>5</v>
      </c>
      <c r="AK34" s="4" t="str">
        <f>IF(AND($C$4=$A34,AK$3&lt;&gt;""),AK$3,'EBA2017'!AK34)</f>
        <v>N/A</v>
      </c>
      <c r="AL34" s="4">
        <f>IF(AND($C$4=$A34,AL$3&lt;&gt;""),AL$3,'EBA2017'!AL34)</f>
        <v>6</v>
      </c>
      <c r="AM34" s="30">
        <f t="shared" si="5"/>
        <v>10</v>
      </c>
      <c r="AN34" s="31">
        <f>VLOOKUP($A34,'Mark Base Calc'!$A:$Z,21,FALSE)</f>
        <v>75.395906177156178</v>
      </c>
      <c r="AO34" s="4">
        <f>IF(AND($C$4=$A34,AO$3&lt;&gt;""),AO$3,'EBA2017'!AO34)</f>
        <v>7.9</v>
      </c>
      <c r="AP34" s="4">
        <f>IF(AND($C$4=$A34,AP$3&lt;&gt;""),AP$3,'EBA2017'!AP34)</f>
        <v>5.75</v>
      </c>
      <c r="AQ34" s="4">
        <f>IF(AND($C$4=$A34,AQ$3&lt;&gt;""),AQ$3,'EBA2017'!AQ34)</f>
        <v>7.5</v>
      </c>
      <c r="AR34" s="12">
        <f>IF(AND($C$4=$A34,AR$3&lt;&gt;""),AR$3,'EBA2017'!AR34)</f>
        <v>1</v>
      </c>
      <c r="AS34" s="12">
        <f>IF(AND($C$4=$A34,AS$3&lt;&gt;""),AS$3,'EBA2017'!AS34)</f>
        <v>2</v>
      </c>
      <c r="AT34" s="4">
        <f>IF(AND($C$4=$A34,AT$3&lt;&gt;""),AT$3,'EBA2017'!AT34)</f>
        <v>0</v>
      </c>
      <c r="AU34" s="30">
        <f t="shared" si="6"/>
        <v>49</v>
      </c>
      <c r="AV34" s="31">
        <f t="shared" si="7"/>
        <v>35.609677889440952</v>
      </c>
      <c r="AW34" s="4">
        <f>IF(AND($C$4=$A34,AW$3&lt;&gt;""),AW$3,'EBA2017'!AW34)</f>
        <v>5.9999999999999991</v>
      </c>
      <c r="AX34" s="4">
        <f>IF(AND($C$4=$A34,AX$3&lt;&gt;""),AX$3,'EBA2017'!AX34)</f>
        <v>20</v>
      </c>
      <c r="AY34" s="4">
        <f>IF(AND($C$4=$A34,AY$3&lt;&gt;""),AY$3,'EBA2017'!AY34)</f>
        <v>5.1742321154590938E-2</v>
      </c>
      <c r="AZ34" s="4">
        <f>IF(AND($C$4=$A34,AZ$3&lt;&gt;""),AZ$3,'EBA2017'!AZ34)</f>
        <v>0</v>
      </c>
      <c r="BA34" s="12" t="str">
        <f>IF(AND($C$4=$A34,BA$3&lt;&gt;""),BA$3,'EBA2017'!BA34)</f>
        <v>N/A</v>
      </c>
      <c r="BB34" s="4" t="str">
        <f>IF(AND($C$4=$A34,BB$3&lt;&gt;""),BB$3,'EBA2017'!BB34)</f>
        <v>N/A</v>
      </c>
      <c r="BC34" s="30">
        <f t="shared" si="8"/>
        <v>9</v>
      </c>
      <c r="BD34" s="31">
        <f t="shared" si="9"/>
        <v>74.827586206896555</v>
      </c>
      <c r="BE34" s="4">
        <f>IF(AND($C$4=$A34,BE$3&lt;&gt;""),BE$3,'EBA2017'!BE34)</f>
        <v>26</v>
      </c>
      <c r="BF34" s="4">
        <f>IF(AND($C$4=$A34,BF$3&lt;&gt;""),BF$3,'EBA2017'!BF34)</f>
        <v>12</v>
      </c>
      <c r="BG34" s="30">
        <f t="shared" si="10"/>
        <v>11</v>
      </c>
      <c r="BH34" s="31">
        <f t="shared" si="11"/>
        <v>83.333333333333343</v>
      </c>
      <c r="BI34" s="4">
        <f>IF(AND($C$4=$A34,BI$3&lt;&gt;""),BI$3,'EBA2017'!BI34)</f>
        <v>7.5000000000000009</v>
      </c>
    </row>
    <row r="35" spans="1:61" x14ac:dyDescent="0.2">
      <c r="A35" s="2" t="s">
        <v>74</v>
      </c>
      <c r="B35" s="3" t="s">
        <v>75</v>
      </c>
      <c r="C35" s="3" t="s">
        <v>7</v>
      </c>
      <c r="D35" s="3" t="s">
        <v>8</v>
      </c>
      <c r="E35" s="3" t="s">
        <v>9</v>
      </c>
      <c r="F35" s="3" t="s">
        <v>161</v>
      </c>
      <c r="G35" s="3" t="s">
        <v>163</v>
      </c>
      <c r="H35" s="30">
        <f t="shared" si="1"/>
        <v>53</v>
      </c>
      <c r="I35" s="31">
        <f>VLOOKUP($A35,'Seed Base Calc'!$A:$S,19,FALSE)</f>
        <v>36.44495481388109</v>
      </c>
      <c r="J35" s="4">
        <f>IF(AND($C$4=$A35,J$3&lt;&gt;""),J$3,'EBA2017'!J35)</f>
        <v>7</v>
      </c>
      <c r="K35" s="4">
        <f>IF(AND($C$4=$A35,K$3&lt;&gt;""),K$3,'EBA2017'!K35)</f>
        <v>4</v>
      </c>
      <c r="L35" s="4">
        <f>IF(AND($C$4=$A35,L$3&lt;&gt;""),L$3,'EBA2017'!L35)</f>
        <v>2</v>
      </c>
      <c r="M35" s="12">
        <f>IF(AND($C$4=$A35,M$3&lt;&gt;""),M$3,'EBA2017'!M35)</f>
        <v>970</v>
      </c>
      <c r="N35" s="4">
        <f>IF(AND($C$4=$A35,N$3&lt;&gt;""),N$3,'EBA2017'!N35)</f>
        <v>219.41934868282291</v>
      </c>
      <c r="O35" s="30">
        <f t="shared" si="2"/>
        <v>18</v>
      </c>
      <c r="P35" s="31">
        <f>VLOOKUP($A35,'Fert Base Calc'!$A:$S,19,FALSE)</f>
        <v>69.383171779113013</v>
      </c>
      <c r="Q35" s="4">
        <f>IF(AND($C$4=$A35,Q$3&lt;&gt;""),Q$3,'EBA2017'!Q35)</f>
        <v>3.8</v>
      </c>
      <c r="R35" s="4">
        <f>IF(AND($C$4=$A35,R$3&lt;&gt;""),R$3,'EBA2017'!R35)</f>
        <v>4</v>
      </c>
      <c r="S35" s="4">
        <f>IF(AND($C$4=$A35,S$3&lt;&gt;""),S$3,'EBA2017'!S35)</f>
        <v>6</v>
      </c>
      <c r="T35" s="12">
        <f>IF(AND($C$4=$A35,T$3&lt;&gt;""),T$3,'EBA2017'!T35)</f>
        <v>357</v>
      </c>
      <c r="U35" s="4">
        <f>IF(AND($C$4=$A35,U$3&lt;&gt;""),U$3,'EBA2017'!U35)</f>
        <v>21.38899810960158</v>
      </c>
      <c r="V35" s="30">
        <f t="shared" si="3"/>
        <v>14</v>
      </c>
      <c r="W35" s="31">
        <f>VLOOKUP($A35,'Mech Base Calc'!$A:$Z,24,FALSE)</f>
        <v>64.976194685435701</v>
      </c>
      <c r="X35" s="4">
        <f>IF(AND($C$4=$A35,X$3&lt;&gt;""),X$3,'EBA2017'!X35)</f>
        <v>3</v>
      </c>
      <c r="Y35" s="4">
        <f>IF(AND($C$4=$A35,Y$3&lt;&gt;""),Y$3,'EBA2017'!Y35)</f>
        <v>5.5</v>
      </c>
      <c r="Z35" s="4">
        <f>IF(AND($C$4=$A35,Z$3&lt;&gt;""),Z$3,'EBA2017'!Z35)</f>
        <v>5</v>
      </c>
      <c r="AA35" s="12" t="str">
        <f>IF(AND($C$4=$A35,AA$3&lt;&gt;""),AA$3,'EBA2017'!AA35)</f>
        <v>No practice</v>
      </c>
      <c r="AB35" s="4" t="str">
        <f>IF(AND($C$4=$A35,AB$3&lt;&gt;""),AB$3,'EBA2017'!AB35)</f>
        <v>No practice</v>
      </c>
      <c r="AC35" s="12">
        <f>IF(AND($C$4=$A35,AC$3&lt;&gt;""),AC$3,'EBA2017'!AC35)</f>
        <v>2</v>
      </c>
      <c r="AD35" s="4">
        <f>IF(AND($C$4=$A35,AD$3&lt;&gt;""),AD$3,'EBA2017'!AD35)</f>
        <v>1.4627956578854862</v>
      </c>
      <c r="AE35" s="30">
        <f t="shared" si="4"/>
        <v>8</v>
      </c>
      <c r="AF35" s="31">
        <f>100*AVERAGE(IF(VLOOKUP(A35,'Data Gaps'!A:O,15,FALSE)="X",Calculator!AH35/4,AVERAGE(AG35/5,AH35/4)),AVERAGE(AI35/5,AJ35/8),IF(VLOOKUP(A35,'Data Gaps'!A:O,15,FALSE)="X",Calculator!AL35/7,AVERAGE(AK35/7,AL35/7)))</f>
        <v>78.607142857142847</v>
      </c>
      <c r="AG35" s="4">
        <f>IF(AND($C$4=$A35,AG$3&lt;&gt;""),AG$3,'EBA2017'!AG35)</f>
        <v>4.0999999999999996</v>
      </c>
      <c r="AH35" s="4">
        <f>IF(AND($C$4=$A35,AH$3&lt;&gt;""),AH$3,'EBA2017'!AH35)</f>
        <v>3.5</v>
      </c>
      <c r="AI35" s="4">
        <f>IF(AND($C$4=$A35,AI$3&lt;&gt;""),AI$3,'EBA2017'!AI35)</f>
        <v>3.5</v>
      </c>
      <c r="AJ35" s="4">
        <f>IF(AND($C$4=$A35,AJ$3&lt;&gt;""),AJ$3,'EBA2017'!AJ35)</f>
        <v>6</v>
      </c>
      <c r="AK35" s="4">
        <f>IF(AND($C$4=$A35,AK$3&lt;&gt;""),AK$3,'EBA2017'!AK35)</f>
        <v>5</v>
      </c>
      <c r="AL35" s="4">
        <f>IF(AND($C$4=$A35,AL$3&lt;&gt;""),AL$3,'EBA2017'!AL35)</f>
        <v>6</v>
      </c>
      <c r="AM35" s="30">
        <f t="shared" si="5"/>
        <v>13</v>
      </c>
      <c r="AN35" s="31">
        <f>VLOOKUP($A35,'Mark Base Calc'!$A:$Z,21,FALSE)</f>
        <v>72.596327904891183</v>
      </c>
      <c r="AO35" s="4">
        <f>IF(AND($C$4=$A35,AO$3&lt;&gt;""),AO$3,'EBA2017'!AO35)</f>
        <v>8.5</v>
      </c>
      <c r="AP35" s="4">
        <f>IF(AND($C$4=$A35,AP$3&lt;&gt;""),AP$3,'EBA2017'!AP35)</f>
        <v>5.5</v>
      </c>
      <c r="AQ35" s="4">
        <f>IF(AND($C$4=$A35,AQ$3&lt;&gt;""),AQ$3,'EBA2017'!AQ35)</f>
        <v>6.5</v>
      </c>
      <c r="AR35" s="12">
        <f>IF(AND($C$4=$A35,AR$3&lt;&gt;""),AR$3,'EBA2017'!AR35)</f>
        <v>1</v>
      </c>
      <c r="AS35" s="12">
        <f>IF(AND($C$4=$A35,AS$3&lt;&gt;""),AS$3,'EBA2017'!AS35)</f>
        <v>1</v>
      </c>
      <c r="AT35" s="4">
        <f>IF(AND($C$4=$A35,AT$3&lt;&gt;""),AT$3,'EBA2017'!AT35)</f>
        <v>0.72386443130463274</v>
      </c>
      <c r="AU35" s="30">
        <f t="shared" si="6"/>
        <v>56</v>
      </c>
      <c r="AV35" s="31">
        <f t="shared" si="7"/>
        <v>18.434343434343436</v>
      </c>
      <c r="AW35" s="4">
        <f>IF(AND($C$4=$A35,AW$3&lt;&gt;""),AW$3,'EBA2017'!AW35)</f>
        <v>2.0000000000000004</v>
      </c>
      <c r="AX35" s="4" t="str">
        <f>IF(AND($C$4=$A35,AX$3&lt;&gt;""),AX$3,'EBA2017'!AX35)</f>
        <v>N/A</v>
      </c>
      <c r="AY35" s="4" t="str">
        <f>IF(AND($C$4=$A35,AY$3&lt;&gt;""),AY$3,'EBA2017'!AY35)</f>
        <v>N/A</v>
      </c>
      <c r="AZ35" s="4">
        <f>IF(AND($C$4=$A35,AZ$3&lt;&gt;""),AZ$3,'EBA2017'!AZ35)</f>
        <v>5</v>
      </c>
      <c r="BA35" s="12" t="str">
        <f>IF(AND($C$4=$A35,BA$3&lt;&gt;""),BA$3,'EBA2017'!BA35)</f>
        <v>N/A</v>
      </c>
      <c r="BB35" s="4" t="str">
        <f>IF(AND($C$4=$A35,BB$3&lt;&gt;""),BB$3,'EBA2017'!BB35)</f>
        <v>N/A</v>
      </c>
      <c r="BC35" s="30">
        <f t="shared" si="8"/>
        <v>36</v>
      </c>
      <c r="BD35" s="31">
        <f t="shared" si="9"/>
        <v>46.206896551724128</v>
      </c>
      <c r="BE35" s="4">
        <f>IF(AND($C$4=$A35,BE$3&lt;&gt;""),BE$3,'EBA2017'!BE35)</f>
        <v>20.999999999999996</v>
      </c>
      <c r="BF35" s="4">
        <f>IF(AND($C$4=$A35,BF$3&lt;&gt;""),BF$3,'EBA2017'!BF35)</f>
        <v>4</v>
      </c>
      <c r="BG35" s="30">
        <f t="shared" si="10"/>
        <v>43</v>
      </c>
      <c r="BH35" s="31">
        <f t="shared" si="11"/>
        <v>44.444444444444443</v>
      </c>
      <c r="BI35" s="4">
        <f>IF(AND($C$4=$A35,BI$3&lt;&gt;""),BI$3,'EBA2017'!BI35)</f>
        <v>4</v>
      </c>
    </row>
    <row r="36" spans="1:61" x14ac:dyDescent="0.2">
      <c r="A36" s="2" t="s">
        <v>76</v>
      </c>
      <c r="B36" s="3" t="s">
        <v>77</v>
      </c>
      <c r="C36" s="3" t="s">
        <v>32</v>
      </c>
      <c r="D36" s="3" t="s">
        <v>33</v>
      </c>
      <c r="E36" s="3" t="s">
        <v>9</v>
      </c>
      <c r="F36" s="3" t="s">
        <v>160</v>
      </c>
      <c r="G36" s="3" t="s">
        <v>158</v>
      </c>
      <c r="H36" s="30">
        <f t="shared" si="1"/>
        <v>59</v>
      </c>
      <c r="I36" s="31">
        <f>VLOOKUP($A36,'Seed Base Calc'!$A:$S,19,FALSE)</f>
        <v>20.9375</v>
      </c>
      <c r="J36" s="4">
        <f>IF(AND($C$4=$A36,J$3&lt;&gt;""),J$3,'EBA2017'!J36)</f>
        <v>4</v>
      </c>
      <c r="K36" s="4">
        <f>IF(AND($C$4=$A36,K$3&lt;&gt;""),K$3,'EBA2017'!K36)</f>
        <v>3.5</v>
      </c>
      <c r="L36" s="4">
        <f>IF(AND($C$4=$A36,L$3&lt;&gt;""),L$3,'EBA2017'!L36)</f>
        <v>0</v>
      </c>
      <c r="M36" s="12" t="str">
        <f>IF(AND($C$4=$A36,M$3&lt;&gt;""),M$3,'EBA2017'!M36)</f>
        <v>No practice</v>
      </c>
      <c r="N36" s="4" t="str">
        <f>IF(AND($C$4=$A36,N$3&lt;&gt;""),N$3,'EBA2017'!N36)</f>
        <v>No practice</v>
      </c>
      <c r="O36" s="30">
        <f t="shared" si="2"/>
        <v>26</v>
      </c>
      <c r="P36" s="31">
        <f>VLOOKUP($A36,'Fert Base Calc'!$A:$S,19,FALSE)</f>
        <v>65.700576669111868</v>
      </c>
      <c r="Q36" s="4">
        <f>IF(AND($C$4=$A36,Q$3&lt;&gt;""),Q$3,'EBA2017'!Q36)</f>
        <v>3.4</v>
      </c>
      <c r="R36" s="4">
        <f>IF(AND($C$4=$A36,R$3&lt;&gt;""),R$3,'EBA2017'!R36)</f>
        <v>5</v>
      </c>
      <c r="S36" s="4">
        <f>IF(AND($C$4=$A36,S$3&lt;&gt;""),S$3,'EBA2017'!S36)</f>
        <v>3</v>
      </c>
      <c r="T36" s="12" t="str">
        <f>IF(AND($C$4=$A36,T$3&lt;&gt;""),T$3,'EBA2017'!T36)</f>
        <v>No data</v>
      </c>
      <c r="U36" s="4">
        <f>IF(AND($C$4=$A36,U$3&lt;&gt;""),U$3,'EBA2017'!U36)</f>
        <v>0.4637894772542791</v>
      </c>
      <c r="V36" s="30">
        <f t="shared" si="3"/>
        <v>59</v>
      </c>
      <c r="W36" s="31">
        <f>VLOOKUP($A36,'Mech Base Calc'!$A:$Z,24,FALSE)</f>
        <v>14.833333333333334</v>
      </c>
      <c r="X36" s="4">
        <f>IF(AND($C$4=$A36,X$3&lt;&gt;""),X$3,'EBA2017'!X36)</f>
        <v>1</v>
      </c>
      <c r="Y36" s="4">
        <f>IF(AND($C$4=$A36,Y$3&lt;&gt;""),Y$3,'EBA2017'!Y36)</f>
        <v>0.33333333333333326</v>
      </c>
      <c r="Z36" s="4">
        <f>IF(AND($C$4=$A36,Z$3&lt;&gt;""),Z$3,'EBA2017'!Z36)</f>
        <v>2.5</v>
      </c>
      <c r="AA36" s="12" t="str">
        <f>IF(AND($C$4=$A36,AA$3&lt;&gt;""),AA$3,'EBA2017'!AA36)</f>
        <v>N/A</v>
      </c>
      <c r="AB36" s="4" t="str">
        <f>IF(AND($C$4=$A36,AB$3&lt;&gt;""),AB$3,'EBA2017'!AB36)</f>
        <v>N/A</v>
      </c>
      <c r="AC36" s="12" t="str">
        <f>IF(AND($C$4=$A36,AC$3&lt;&gt;""),AC$3,'EBA2017'!AC36)</f>
        <v>No practice</v>
      </c>
      <c r="AD36" s="4" t="str">
        <f>IF(AND($C$4=$A36,AD$3&lt;&gt;""),AD$3,'EBA2017'!AD36)</f>
        <v>No practice</v>
      </c>
      <c r="AE36" s="30">
        <f t="shared" si="4"/>
        <v>47</v>
      </c>
      <c r="AF36" s="31">
        <f>100*AVERAGE(IF(VLOOKUP(A36,'Data Gaps'!A:O,15,FALSE)="X",Calculator!AH36/4,AVERAGE(AG36/5,AH36/4)),AVERAGE(AI36/5,AJ36/8),IF(VLOOKUP(A36,'Data Gaps'!A:O,15,FALSE)="X",Calculator!AL36/7,AVERAGE(AK36/7,AL36/7)))</f>
        <v>41.071428571428577</v>
      </c>
      <c r="AG36" s="4">
        <f>IF(AND($C$4=$A36,AG$3&lt;&gt;""),AG$3,'EBA2017'!AG36)</f>
        <v>0</v>
      </c>
      <c r="AH36" s="4">
        <f>IF(AND($C$4=$A36,AH$3&lt;&gt;""),AH$3,'EBA2017'!AH36)</f>
        <v>1</v>
      </c>
      <c r="AI36" s="4">
        <f>IF(AND($C$4=$A36,AI$3&lt;&gt;""),AI$3,'EBA2017'!AI36)</f>
        <v>0</v>
      </c>
      <c r="AJ36" s="4">
        <f>IF(AND($C$4=$A36,AJ$3&lt;&gt;""),AJ$3,'EBA2017'!AJ36)</f>
        <v>4</v>
      </c>
      <c r="AK36" s="4">
        <f>IF(AND($C$4=$A36,AK$3&lt;&gt;""),AK$3,'EBA2017'!AK36)</f>
        <v>6</v>
      </c>
      <c r="AL36" s="4">
        <f>IF(AND($C$4=$A36,AL$3&lt;&gt;""),AL$3,'EBA2017'!AL36)</f>
        <v>6</v>
      </c>
      <c r="AM36" s="30">
        <f t="shared" si="5"/>
        <v>35</v>
      </c>
      <c r="AN36" s="31">
        <f>VLOOKUP($A36,'Mark Base Calc'!$A:$Z,21,FALSE)</f>
        <v>55.165689984518728</v>
      </c>
      <c r="AO36" s="4">
        <f>IF(AND($C$4=$A36,AO$3&lt;&gt;""),AO$3,'EBA2017'!AO36)</f>
        <v>7</v>
      </c>
      <c r="AP36" s="4">
        <f>IF(AND($C$4=$A36,AP$3&lt;&gt;""),AP$3,'EBA2017'!AP36)</f>
        <v>4.5</v>
      </c>
      <c r="AQ36" s="4">
        <f>IF(AND($C$4=$A36,AQ$3&lt;&gt;""),AQ$3,'EBA2017'!AQ36)</f>
        <v>6</v>
      </c>
      <c r="AR36" s="12">
        <f>IF(AND($C$4=$A36,AR$3&lt;&gt;""),AR$3,'EBA2017'!AR36)</f>
        <v>2</v>
      </c>
      <c r="AS36" s="12">
        <f>IF(AND($C$4=$A36,AS$3&lt;&gt;""),AS$3,'EBA2017'!AS36)</f>
        <v>3</v>
      </c>
      <c r="AT36" s="4">
        <f>IF(AND($C$4=$A36,AT$3&lt;&gt;""),AT$3,'EBA2017'!AT36)</f>
        <v>4.7665737052130615</v>
      </c>
      <c r="AU36" s="30">
        <f t="shared" si="6"/>
        <v>26</v>
      </c>
      <c r="AV36" s="31">
        <f t="shared" si="7"/>
        <v>64.376132173878915</v>
      </c>
      <c r="AW36" s="4">
        <f>IF(AND($C$4=$A36,AW$3&lt;&gt;""),AW$3,'EBA2017'!AW36)</f>
        <v>6.5</v>
      </c>
      <c r="AX36" s="4">
        <f>IF(AND($C$4=$A36,AX$3&lt;&gt;""),AX$3,'EBA2017'!AX36)</f>
        <v>37</v>
      </c>
      <c r="AY36" s="4">
        <f>IF(AND($C$4=$A36,AY$3&lt;&gt;""),AY$3,'EBA2017'!AY36)</f>
        <v>6.0649393179405733</v>
      </c>
      <c r="AZ36" s="4">
        <f>IF(AND($C$4=$A36,AZ$3&lt;&gt;""),AZ$3,'EBA2017'!AZ36)</f>
        <v>5</v>
      </c>
      <c r="BA36" s="12">
        <f>IF(AND($C$4=$A36,BA$3&lt;&gt;""),BA$3,'EBA2017'!BA36)</f>
        <v>30</v>
      </c>
      <c r="BB36" s="4">
        <f>IF(AND($C$4=$A36,BB$3&lt;&gt;""),BB$3,'EBA2017'!BB36)</f>
        <v>0.28540890907955635</v>
      </c>
      <c r="BC36" s="30">
        <f t="shared" si="8"/>
        <v>40</v>
      </c>
      <c r="BD36" s="31">
        <f t="shared" si="9"/>
        <v>40.948275862068968</v>
      </c>
      <c r="BE36" s="4">
        <f>IF(AND($C$4=$A36,BE$3&lt;&gt;""),BE$3,'EBA2017'!BE36)</f>
        <v>16.5</v>
      </c>
      <c r="BF36" s="4">
        <f>IF(AND($C$4=$A36,BF$3&lt;&gt;""),BF$3,'EBA2017'!BF36)</f>
        <v>5</v>
      </c>
      <c r="BG36" s="30">
        <f t="shared" si="10"/>
        <v>59</v>
      </c>
      <c r="BH36" s="31">
        <f t="shared" si="11"/>
        <v>27.777777777777779</v>
      </c>
      <c r="BI36" s="4">
        <f>IF(AND($C$4=$A36,BI$3&lt;&gt;""),BI$3,'EBA2017'!BI36)</f>
        <v>2.5</v>
      </c>
    </row>
    <row r="37" spans="1:61" x14ac:dyDescent="0.2">
      <c r="A37" s="2" t="s">
        <v>78</v>
      </c>
      <c r="B37" s="3" t="s">
        <v>79</v>
      </c>
      <c r="C37" s="3" t="s">
        <v>16</v>
      </c>
      <c r="D37" s="3" t="s">
        <v>17</v>
      </c>
      <c r="E37" s="3" t="s">
        <v>18</v>
      </c>
      <c r="F37" s="3" t="s">
        <v>160</v>
      </c>
      <c r="G37" s="3" t="s">
        <v>163</v>
      </c>
      <c r="H37" s="30">
        <f t="shared" si="1"/>
        <v>62</v>
      </c>
      <c r="I37" s="31">
        <f>VLOOKUP($A37,'Seed Base Calc'!$A:$S,19,FALSE)</f>
        <v>7.5</v>
      </c>
      <c r="J37" s="4">
        <f>IF(AND($C$4=$A37,J$3&lt;&gt;""),J$3,'EBA2017'!J37)</f>
        <v>3</v>
      </c>
      <c r="K37" s="4">
        <f>IF(AND($C$4=$A37,K$3&lt;&gt;""),K$3,'EBA2017'!K37)</f>
        <v>0</v>
      </c>
      <c r="L37" s="4">
        <f>IF(AND($C$4=$A37,L$3&lt;&gt;""),L$3,'EBA2017'!L37)</f>
        <v>0</v>
      </c>
      <c r="M37" s="12" t="str">
        <f>IF(AND($C$4=$A37,M$3&lt;&gt;""),M$3,'EBA2017'!M37)</f>
        <v>No practice</v>
      </c>
      <c r="N37" s="4" t="str">
        <f>IF(AND($C$4=$A37,N$3&lt;&gt;""),N$3,'EBA2017'!N37)</f>
        <v>No practice</v>
      </c>
      <c r="O37" s="30">
        <f t="shared" si="2"/>
        <v>62</v>
      </c>
      <c r="P37" s="31">
        <f>VLOOKUP($A37,'Fert Base Calc'!$A:$S,19,FALSE)</f>
        <v>8.9285714285714288</v>
      </c>
      <c r="Q37" s="4">
        <f>IF(AND($C$4=$A37,Q$3&lt;&gt;""),Q$3,'EBA2017'!Q37)</f>
        <v>0</v>
      </c>
      <c r="R37" s="4">
        <f>IF(AND($C$4=$A37,R$3&lt;&gt;""),R$3,'EBA2017'!R37)</f>
        <v>0</v>
      </c>
      <c r="S37" s="4">
        <f>IF(AND($C$4=$A37,S$3&lt;&gt;""),S$3,'EBA2017'!S37)</f>
        <v>2.5</v>
      </c>
      <c r="T37" s="12" t="str">
        <f>IF(AND($C$4=$A37,T$3&lt;&gt;""),T$3,'EBA2017'!T37)</f>
        <v>N/A</v>
      </c>
      <c r="U37" s="4" t="str">
        <f>IF(AND($C$4=$A37,U$3&lt;&gt;""),U$3,'EBA2017'!U37)</f>
        <v>N/A</v>
      </c>
      <c r="V37" s="30">
        <f t="shared" si="3"/>
        <v>60</v>
      </c>
      <c r="W37" s="31">
        <f>VLOOKUP($A37,'Mech Base Calc'!$A:$Z,24,FALSE)</f>
        <v>13.294871794871794</v>
      </c>
      <c r="X37" s="4">
        <f>IF(AND($C$4=$A37,X$3&lt;&gt;""),X$3,'EBA2017'!X37)</f>
        <v>1</v>
      </c>
      <c r="Y37" s="4">
        <f>IF(AND($C$4=$A37,Y$3&lt;&gt;""),Y$3,'EBA2017'!Y37)</f>
        <v>0.33333333333333326</v>
      </c>
      <c r="Z37" s="4">
        <f>IF(AND($C$4=$A37,Z$3&lt;&gt;""),Z$3,'EBA2017'!Z37)</f>
        <v>0</v>
      </c>
      <c r="AA37" s="12" t="str">
        <f>IF(AND($C$4=$A37,AA$3&lt;&gt;""),AA$3,'EBA2017'!AA37)</f>
        <v>N/A</v>
      </c>
      <c r="AB37" s="4" t="str">
        <f>IF(AND($C$4=$A37,AB$3&lt;&gt;""),AB$3,'EBA2017'!AB37)</f>
        <v>N/A</v>
      </c>
      <c r="AC37" s="12">
        <f>IF(AND($C$4=$A37,AC$3&lt;&gt;""),AC$3,'EBA2017'!AC37)</f>
        <v>5</v>
      </c>
      <c r="AD37" s="4">
        <f>IF(AND($C$4=$A37,AD$3&lt;&gt;""),AD$3,'EBA2017'!AD37)</f>
        <v>92.10526315789474</v>
      </c>
      <c r="AE37" s="30">
        <f t="shared" si="4"/>
        <v>35</v>
      </c>
      <c r="AF37" s="31">
        <f>100*AVERAGE(IF(VLOOKUP(A37,'Data Gaps'!A:O,15,FALSE)="X",Calculator!AH37/4,AVERAGE(AG37/5,AH37/4)),AVERAGE(AI37/5,AJ37/8),IF(VLOOKUP(A37,'Data Gaps'!A:O,15,FALSE)="X",Calculator!AL37/7,AVERAGE(AK37/7,AL37/7)))</f>
        <v>46.13095238095238</v>
      </c>
      <c r="AG37" s="4">
        <f>IF(AND($C$4=$A37,AG$3&lt;&gt;""),AG$3,'EBA2017'!AG37)</f>
        <v>0</v>
      </c>
      <c r="AH37" s="4">
        <f>IF(AND($C$4=$A37,AH$3&lt;&gt;""),AH$3,'EBA2017'!AH37)</f>
        <v>4</v>
      </c>
      <c r="AI37" s="4">
        <f>IF(AND($C$4=$A37,AI$3&lt;&gt;""),AI$3,'EBA2017'!AI37)</f>
        <v>0</v>
      </c>
      <c r="AJ37" s="4">
        <f>IF(AND($C$4=$A37,AJ$3&lt;&gt;""),AJ$3,'EBA2017'!AJ37)</f>
        <v>5</v>
      </c>
      <c r="AK37" s="4">
        <f>IF(AND($C$4=$A37,AK$3&lt;&gt;""),AK$3,'EBA2017'!AK37)</f>
        <v>4</v>
      </c>
      <c r="AL37" s="4">
        <f>IF(AND($C$4=$A37,AL$3&lt;&gt;""),AL$3,'EBA2017'!AL37)</f>
        <v>4</v>
      </c>
      <c r="AM37" s="30">
        <f t="shared" si="5"/>
        <v>62</v>
      </c>
      <c r="AN37" s="31">
        <f>VLOOKUP($A37,'Mark Base Calc'!$A:$Z,21,FALSE)</f>
        <v>20.485625485625487</v>
      </c>
      <c r="AO37" s="4">
        <f>IF(AND($C$4=$A37,AO$3&lt;&gt;""),AO$3,'EBA2017'!AO37)</f>
        <v>5.4</v>
      </c>
      <c r="AP37" s="4">
        <f>IF(AND($C$4=$A37,AP$3&lt;&gt;""),AP$3,'EBA2017'!AP37)</f>
        <v>0</v>
      </c>
      <c r="AQ37" s="4">
        <f>IF(AND($C$4=$A37,AQ$3&lt;&gt;""),AQ$3,'EBA2017'!AQ37)</f>
        <v>2</v>
      </c>
      <c r="AR37" s="12">
        <f>IF(AND($C$4=$A37,AR$3&lt;&gt;""),AR$3,'EBA2017'!AR37)</f>
        <v>4</v>
      </c>
      <c r="AS37" s="12">
        <f>IF(AND($C$4=$A37,AS$3&lt;&gt;""),AS$3,'EBA2017'!AS37)</f>
        <v>7</v>
      </c>
      <c r="AT37" s="4" t="str">
        <f>IF(AND($C$4=$A37,AT$3&lt;&gt;""),AT$3,'EBA2017'!AT37)</f>
        <v>No data</v>
      </c>
      <c r="AU37" s="30">
        <f t="shared" si="6"/>
        <v>59</v>
      </c>
      <c r="AV37" s="31">
        <f t="shared" si="7"/>
        <v>16.161616161616163</v>
      </c>
      <c r="AW37" s="4">
        <f>IF(AND($C$4=$A37,AW$3&lt;&gt;""),AW$3,'EBA2017'!AW37)</f>
        <v>1.0000000000000002</v>
      </c>
      <c r="AX37" s="4" t="str">
        <f>IF(AND($C$4=$A37,AX$3&lt;&gt;""),AX$3,'EBA2017'!AX37)</f>
        <v>N/A</v>
      </c>
      <c r="AY37" s="4" t="str">
        <f>IF(AND($C$4=$A37,AY$3&lt;&gt;""),AY$3,'EBA2017'!AY37)</f>
        <v>N/A</v>
      </c>
      <c r="AZ37" s="4">
        <f>IF(AND($C$4=$A37,AZ$3&lt;&gt;""),AZ$3,'EBA2017'!AZ37)</f>
        <v>5</v>
      </c>
      <c r="BA37" s="12" t="str">
        <f>IF(AND($C$4=$A37,BA$3&lt;&gt;""),BA$3,'EBA2017'!BA37)</f>
        <v>No practice</v>
      </c>
      <c r="BB37" s="4" t="str">
        <f>IF(AND($C$4=$A37,BB$3&lt;&gt;""),BB$3,'EBA2017'!BB37)</f>
        <v>No practice</v>
      </c>
      <c r="BC37" s="30">
        <f t="shared" si="8"/>
        <v>61</v>
      </c>
      <c r="BD37" s="31">
        <f t="shared" si="9"/>
        <v>4.3103448275862073</v>
      </c>
      <c r="BE37" s="4">
        <f>IF(AND($C$4=$A37,BE$3&lt;&gt;""),BE$3,'EBA2017'!BE37)</f>
        <v>2.5</v>
      </c>
      <c r="BF37" s="4">
        <f>IF(AND($C$4=$A37,BF$3&lt;&gt;""),BF$3,'EBA2017'!BF37)</f>
        <v>0</v>
      </c>
      <c r="BG37" s="30">
        <f t="shared" si="10"/>
        <v>31</v>
      </c>
      <c r="BH37" s="31">
        <f t="shared" si="11"/>
        <v>55.555555555555557</v>
      </c>
      <c r="BI37" s="4">
        <f>IF(AND($C$4=$A37,BI$3&lt;&gt;""),BI$3,'EBA2017'!BI37)</f>
        <v>5</v>
      </c>
    </row>
    <row r="38" spans="1:61" x14ac:dyDescent="0.2">
      <c r="A38" s="2" t="s">
        <v>80</v>
      </c>
      <c r="B38" s="3" t="s">
        <v>81</v>
      </c>
      <c r="C38" s="3" t="s">
        <v>16</v>
      </c>
      <c r="D38" s="3" t="s">
        <v>17</v>
      </c>
      <c r="E38" s="3" t="s">
        <v>18</v>
      </c>
      <c r="F38" s="3" t="s">
        <v>160</v>
      </c>
      <c r="G38" s="3" t="s">
        <v>158</v>
      </c>
      <c r="H38" s="30">
        <f t="shared" si="1"/>
        <v>50</v>
      </c>
      <c r="I38" s="31">
        <f>VLOOKUP($A38,'Seed Base Calc'!$A:$S,19,FALSE)</f>
        <v>45.297721898872311</v>
      </c>
      <c r="J38" s="4">
        <f>IF(AND($C$4=$A38,J$3&lt;&gt;""),J$3,'EBA2017'!J38)</f>
        <v>5</v>
      </c>
      <c r="K38" s="4">
        <f>IF(AND($C$4=$A38,K$3&lt;&gt;""),K$3,'EBA2017'!K38)</f>
        <v>5.5</v>
      </c>
      <c r="L38" s="4">
        <f>IF(AND($C$4=$A38,L$3&lt;&gt;""),L$3,'EBA2017'!L38)</f>
        <v>6</v>
      </c>
      <c r="M38" s="12">
        <f>IF(AND($C$4=$A38,M$3&lt;&gt;""),M$3,'EBA2017'!M38)</f>
        <v>579</v>
      </c>
      <c r="N38" s="4">
        <f>IF(AND($C$4=$A38,N$3&lt;&gt;""),N$3,'EBA2017'!N38)</f>
        <v>2038.1309297703353</v>
      </c>
      <c r="O38" s="30">
        <f t="shared" si="2"/>
        <v>44</v>
      </c>
      <c r="P38" s="31">
        <f>VLOOKUP($A38,'Fert Base Calc'!$A:$S,19,FALSE)</f>
        <v>39.829192546583855</v>
      </c>
      <c r="Q38" s="4">
        <f>IF(AND($C$4=$A38,Q$3&lt;&gt;""),Q$3,'EBA2017'!Q38)</f>
        <v>3.5</v>
      </c>
      <c r="R38" s="4">
        <f>IF(AND($C$4=$A38,R$3&lt;&gt;""),R$3,'EBA2017'!R38)</f>
        <v>4.5000000000000009</v>
      </c>
      <c r="S38" s="4">
        <f>IF(AND($C$4=$A38,S$3&lt;&gt;""),S$3,'EBA2017'!S38)</f>
        <v>3</v>
      </c>
      <c r="T38" s="12">
        <f>IF(AND($C$4=$A38,T$3&lt;&gt;""),T$3,'EBA2017'!T38)</f>
        <v>913</v>
      </c>
      <c r="U38" s="4">
        <f>IF(AND($C$4=$A38,U$3&lt;&gt;""),U$3,'EBA2017'!U38)</f>
        <v>3030.4803540895941</v>
      </c>
      <c r="V38" s="30">
        <f t="shared" si="3"/>
        <v>23</v>
      </c>
      <c r="W38" s="31">
        <f>VLOOKUP($A38,'Mech Base Calc'!$A:$Z,24,FALSE)</f>
        <v>56.667555385975923</v>
      </c>
      <c r="X38" s="4">
        <f>IF(AND($C$4=$A38,X$3&lt;&gt;""),X$3,'EBA2017'!X38)</f>
        <v>4</v>
      </c>
      <c r="Y38" s="4">
        <f>IF(AND($C$4=$A38,Y$3&lt;&gt;""),Y$3,'EBA2017'!Y38)</f>
        <v>4.9999999999999991</v>
      </c>
      <c r="Z38" s="4">
        <f>IF(AND($C$4=$A38,Z$3&lt;&gt;""),Z$3,'EBA2017'!Z38)</f>
        <v>3</v>
      </c>
      <c r="AA38" s="12">
        <f>IF(AND($C$4=$A38,AA$3&lt;&gt;""),AA$3,'EBA2017'!AA38)</f>
        <v>240</v>
      </c>
      <c r="AB38" s="4">
        <f>IF(AND($C$4=$A38,AB$3&lt;&gt;""),AB$3,'EBA2017'!AB38)</f>
        <v>428.57142857142856</v>
      </c>
      <c r="AC38" s="12">
        <f>IF(AND($C$4=$A38,AC$3&lt;&gt;""),AC$3,'EBA2017'!AC38)</f>
        <v>15</v>
      </c>
      <c r="AD38" s="4">
        <f>IF(AND($C$4=$A38,AD$3&lt;&gt;""),AD$3,'EBA2017'!AD38)</f>
        <v>8.2626929585283868</v>
      </c>
      <c r="AE38" s="30">
        <f t="shared" si="4"/>
        <v>20</v>
      </c>
      <c r="AF38" s="31">
        <f>100*AVERAGE(IF(VLOOKUP(A38,'Data Gaps'!A:O,15,FALSE)="X",Calculator!AH38/4,AVERAGE(AG38/5,AH38/4)),AVERAGE(AI38/5,AJ38/8),IF(VLOOKUP(A38,'Data Gaps'!A:O,15,FALSE)="X",Calculator!AL38/7,AVERAGE(AK38/7,AL38/7)))</f>
        <v>58.267857142857146</v>
      </c>
      <c r="AG38" s="4">
        <f>IF(AND($C$4=$A38,AG$3&lt;&gt;""),AG$3,'EBA2017'!AG38)</f>
        <v>2.5249999999999999</v>
      </c>
      <c r="AH38" s="4">
        <f>IF(AND($C$4=$A38,AH$3&lt;&gt;""),AH$3,'EBA2017'!AH38)</f>
        <v>3.75</v>
      </c>
      <c r="AI38" s="4">
        <f>IF(AND($C$4=$A38,AI$3&lt;&gt;""),AI$3,'EBA2017'!AI38)</f>
        <v>0</v>
      </c>
      <c r="AJ38" s="4">
        <f>IF(AND($C$4=$A38,AJ$3&lt;&gt;""),AJ$3,'EBA2017'!AJ38)</f>
        <v>5</v>
      </c>
      <c r="AK38" s="4">
        <f>IF(AND($C$4=$A38,AK$3&lt;&gt;""),AK$3,'EBA2017'!AK38)</f>
        <v>5</v>
      </c>
      <c r="AL38" s="4">
        <f>IF(AND($C$4=$A38,AL$3&lt;&gt;""),AL$3,'EBA2017'!AL38)</f>
        <v>5</v>
      </c>
      <c r="AM38" s="30">
        <f t="shared" si="5"/>
        <v>33</v>
      </c>
      <c r="AN38" s="31">
        <f>VLOOKUP($A38,'Mark Base Calc'!$A:$Z,21,FALSE)</f>
        <v>56.862490818212287</v>
      </c>
      <c r="AO38" s="4">
        <f>IF(AND($C$4=$A38,AO$3&lt;&gt;""),AO$3,'EBA2017'!AO38)</f>
        <v>8.9500000000000011</v>
      </c>
      <c r="AP38" s="4">
        <f>IF(AND($C$4=$A38,AP$3&lt;&gt;""),AP$3,'EBA2017'!AP38)</f>
        <v>3</v>
      </c>
      <c r="AQ38" s="4">
        <f>IF(AND($C$4=$A38,AQ$3&lt;&gt;""),AQ$3,'EBA2017'!AQ38)</f>
        <v>4.5</v>
      </c>
      <c r="AR38" s="12">
        <f>IF(AND($C$4=$A38,AR$3&lt;&gt;""),AR$3,'EBA2017'!AR38)</f>
        <v>1</v>
      </c>
      <c r="AS38" s="12">
        <f>IF(AND($C$4=$A38,AS$3&lt;&gt;""),AS$3,'EBA2017'!AS38)</f>
        <v>1</v>
      </c>
      <c r="AT38" s="4">
        <f>IF(AND($C$4=$A38,AT$3&lt;&gt;""),AT$3,'EBA2017'!AT38)</f>
        <v>2.7542309861761289</v>
      </c>
      <c r="AU38" s="30">
        <f t="shared" si="6"/>
        <v>39</v>
      </c>
      <c r="AV38" s="31">
        <f t="shared" si="7"/>
        <v>46.443954009227824</v>
      </c>
      <c r="AW38" s="4">
        <f>IF(AND($C$4=$A38,AW$3&lt;&gt;""),AW$3,'EBA2017'!AW38)</f>
        <v>5.5</v>
      </c>
      <c r="AX38" s="4">
        <f>IF(AND($C$4=$A38,AX$3&lt;&gt;""),AX$3,'EBA2017'!AX38)</f>
        <v>1</v>
      </c>
      <c r="AY38" s="4">
        <f>IF(AND($C$4=$A38,AY$3&lt;&gt;""),AY$3,'EBA2017'!AY38)</f>
        <v>5.5084619723522579</v>
      </c>
      <c r="AZ38" s="4">
        <f>IF(AND($C$4=$A38,AZ$3&lt;&gt;""),AZ$3,'EBA2017'!AZ38)</f>
        <v>4</v>
      </c>
      <c r="BA38" s="12" t="str">
        <f>IF(AND($C$4=$A38,BA$3&lt;&gt;""),BA$3,'EBA2017'!BA38)</f>
        <v>N/A</v>
      </c>
      <c r="BB38" s="4" t="str">
        <f>IF(AND($C$4=$A38,BB$3&lt;&gt;""),BB$3,'EBA2017'!BB38)</f>
        <v>N/A</v>
      </c>
      <c r="BC38" s="30">
        <f t="shared" si="8"/>
        <v>19</v>
      </c>
      <c r="BD38" s="31">
        <f t="shared" si="9"/>
        <v>65.560344827586206</v>
      </c>
      <c r="BE38" s="4">
        <f>IF(AND($C$4=$A38,BE$3&lt;&gt;""),BE$3,'EBA2017'!BE38)</f>
        <v>17</v>
      </c>
      <c r="BF38" s="4">
        <f>IF(AND($C$4=$A38,BF$3&lt;&gt;""),BF$3,'EBA2017'!BF38)</f>
        <v>14.5</v>
      </c>
      <c r="BG38" s="30">
        <f t="shared" si="10"/>
        <v>50</v>
      </c>
      <c r="BH38" s="31">
        <f t="shared" si="11"/>
        <v>41.666666666666671</v>
      </c>
      <c r="BI38" s="4">
        <f>IF(AND($C$4=$A38,BI$3&lt;&gt;""),BI$3,'EBA2017'!BI38)</f>
        <v>3.7500000000000004</v>
      </c>
    </row>
    <row r="39" spans="1:61" x14ac:dyDescent="0.2">
      <c r="A39" s="2" t="s">
        <v>82</v>
      </c>
      <c r="B39" s="3" t="s">
        <v>83</v>
      </c>
      <c r="C39" s="3" t="s">
        <v>32</v>
      </c>
      <c r="D39" s="3" t="s">
        <v>33</v>
      </c>
      <c r="E39" s="3" t="s">
        <v>25</v>
      </c>
      <c r="F39" s="3" t="s">
        <v>161</v>
      </c>
      <c r="G39" s="3" t="s">
        <v>158</v>
      </c>
      <c r="H39" s="30">
        <f t="shared" si="1"/>
        <v>45</v>
      </c>
      <c r="I39" s="31">
        <f>VLOOKUP($A39,'Seed Base Calc'!$A:$S,19,FALSE)</f>
        <v>47.804056409100745</v>
      </c>
      <c r="J39" s="4">
        <f>IF(AND($C$4=$A39,J$3&lt;&gt;""),J$3,'EBA2017'!J39)</f>
        <v>9</v>
      </c>
      <c r="K39" s="4">
        <f>IF(AND($C$4=$A39,K$3&lt;&gt;""),K$3,'EBA2017'!K39)</f>
        <v>3</v>
      </c>
      <c r="L39" s="4">
        <f>IF(AND($C$4=$A39,L$3&lt;&gt;""),L$3,'EBA2017'!L39)</f>
        <v>0</v>
      </c>
      <c r="M39" s="12">
        <f>IF(AND($C$4=$A39,M$3&lt;&gt;""),M$3,'EBA2017'!M39)</f>
        <v>561</v>
      </c>
      <c r="N39" s="4">
        <f>IF(AND($C$4=$A39,N$3&lt;&gt;""),N$3,'EBA2017'!N39)</f>
        <v>7.0133767243648091</v>
      </c>
      <c r="O39" s="30">
        <f t="shared" si="2"/>
        <v>50</v>
      </c>
      <c r="P39" s="31">
        <f>VLOOKUP($A39,'Fert Base Calc'!$A:$S,19,FALSE)</f>
        <v>33.928571428571431</v>
      </c>
      <c r="Q39" s="4">
        <f>IF(AND($C$4=$A39,Q$3&lt;&gt;""),Q$3,'EBA2017'!Q39)</f>
        <v>0</v>
      </c>
      <c r="R39" s="4">
        <f>IF(AND($C$4=$A39,R$3&lt;&gt;""),R$3,'EBA2017'!R39)</f>
        <v>3.5</v>
      </c>
      <c r="S39" s="4">
        <f>IF(AND($C$4=$A39,S$3&lt;&gt;""),S$3,'EBA2017'!S39)</f>
        <v>6</v>
      </c>
      <c r="T39" s="12" t="str">
        <f>IF(AND($C$4=$A39,T$3&lt;&gt;""),T$3,'EBA2017'!T39)</f>
        <v>N/A</v>
      </c>
      <c r="U39" s="4" t="str">
        <f>IF(AND($C$4=$A39,U$3&lt;&gt;""),U$3,'EBA2017'!U39)</f>
        <v>N/A</v>
      </c>
      <c r="V39" s="30">
        <f t="shared" si="3"/>
        <v>18</v>
      </c>
      <c r="W39" s="31">
        <f>VLOOKUP($A39,'Mech Base Calc'!$A:$Z,24,FALSE)</f>
        <v>60.321755713496891</v>
      </c>
      <c r="X39" s="4">
        <f>IF(AND($C$4=$A39,X$3&lt;&gt;""),X$3,'EBA2017'!X39)</f>
        <v>4.5</v>
      </c>
      <c r="Y39" s="4">
        <f>IF(AND($C$4=$A39,Y$3&lt;&gt;""),Y$3,'EBA2017'!Y39)</f>
        <v>2.6666666666666661</v>
      </c>
      <c r="Z39" s="4">
        <f>IF(AND($C$4=$A39,Z$3&lt;&gt;""),Z$3,'EBA2017'!Z39)</f>
        <v>4.5</v>
      </c>
      <c r="AA39" s="12" t="str">
        <f>IF(AND($C$4=$A39,AA$3&lt;&gt;""),AA$3,'EBA2017'!AA39)</f>
        <v>N/A</v>
      </c>
      <c r="AB39" s="4" t="str">
        <f>IF(AND($C$4=$A39,AB$3&lt;&gt;""),AB$3,'EBA2017'!AB39)</f>
        <v>N/A</v>
      </c>
      <c r="AC39" s="12">
        <f>IF(AND($C$4=$A39,AC$3&lt;&gt;""),AC$3,'EBA2017'!AC39)</f>
        <v>7</v>
      </c>
      <c r="AD39" s="4">
        <f>IF(AND($C$4=$A39,AD$3&lt;&gt;""),AD$3,'EBA2017'!AD39)</f>
        <v>0.16184715517764942</v>
      </c>
      <c r="AE39" s="30">
        <f t="shared" si="4"/>
        <v>28</v>
      </c>
      <c r="AF39" s="31">
        <f>100*AVERAGE(IF(VLOOKUP(A39,'Data Gaps'!A:O,15,FALSE)="X",Calculator!AH39/4,AVERAGE(AG39/5,AH39/4)),AVERAGE(AI39/5,AJ39/8),IF(VLOOKUP(A39,'Data Gaps'!A:O,15,FALSE)="X",Calculator!AL39/7,AVERAGE(AK39/7,AL39/7)))</f>
        <v>52.148809523809526</v>
      </c>
      <c r="AG39" s="4">
        <f>IF(AND($C$4=$A39,AG$3&lt;&gt;""),AG$3,'EBA2017'!AG39)</f>
        <v>4.3499999999999996</v>
      </c>
      <c r="AH39" s="4">
        <f>IF(AND($C$4=$A39,AH$3&lt;&gt;""),AH$3,'EBA2017'!AH39)</f>
        <v>3.75</v>
      </c>
      <c r="AI39" s="4">
        <f>IF(AND($C$4=$A39,AI$3&lt;&gt;""),AI$3,'EBA2017'!AI39)</f>
        <v>0</v>
      </c>
      <c r="AJ39" s="4">
        <f>IF(AND($C$4=$A39,AJ$3&lt;&gt;""),AJ$3,'EBA2017'!AJ39)</f>
        <v>6</v>
      </c>
      <c r="AK39" s="4">
        <f>IF(AND($C$4=$A39,AK$3&lt;&gt;""),AK$3,'EBA2017'!AK39)</f>
        <v>0</v>
      </c>
      <c r="AL39" s="4">
        <f>IF(AND($C$4=$A39,AL$3&lt;&gt;""),AL$3,'EBA2017'!AL39)</f>
        <v>4</v>
      </c>
      <c r="AM39" s="30">
        <f t="shared" si="5"/>
        <v>40</v>
      </c>
      <c r="AN39" s="31">
        <f>VLOOKUP($A39,'Mark Base Calc'!$A:$Z,21,FALSE)</f>
        <v>53.055884021826614</v>
      </c>
      <c r="AO39" s="4">
        <f>IF(AND($C$4=$A39,AO$3&lt;&gt;""),AO$3,'EBA2017'!AO39)</f>
        <v>4.9000000000000004</v>
      </c>
      <c r="AP39" s="4">
        <f>IF(AND($C$4=$A39,AP$3&lt;&gt;""),AP$3,'EBA2017'!AP39)</f>
        <v>4</v>
      </c>
      <c r="AQ39" s="4">
        <f>IF(AND($C$4=$A39,AQ$3&lt;&gt;""),AQ$3,'EBA2017'!AQ39)</f>
        <v>3.5</v>
      </c>
      <c r="AR39" s="12">
        <f>IF(AND($C$4=$A39,AR$3&lt;&gt;""),AR$3,'EBA2017'!AR39)</f>
        <v>2</v>
      </c>
      <c r="AS39" s="12" t="str">
        <f>IF(AND($C$4=$A39,AS$3&lt;&gt;""),AS$3,'EBA2017'!AS39)</f>
        <v>No data</v>
      </c>
      <c r="AT39" s="4">
        <f>IF(AND($C$4=$A39,AT$3&lt;&gt;""),AT$3,'EBA2017'!AT39)</f>
        <v>4.9093637070553656E-2</v>
      </c>
      <c r="AU39" s="30">
        <f t="shared" si="6"/>
        <v>54</v>
      </c>
      <c r="AV39" s="31">
        <f t="shared" si="7"/>
        <v>28.27619336257715</v>
      </c>
      <c r="AW39" s="4">
        <f>IF(AND($C$4=$A39,AW$3&lt;&gt;""),AW$3,'EBA2017'!AW39)</f>
        <v>5.1666666666666661</v>
      </c>
      <c r="AX39" s="4">
        <f>IF(AND($C$4=$A39,AX$3&lt;&gt;""),AX$3,'EBA2017'!AX39)</f>
        <v>44</v>
      </c>
      <c r="AY39" s="4">
        <f>IF(AND($C$4=$A39,AY$3&lt;&gt;""),AY$3,'EBA2017'!AY39)</f>
        <v>4.2255594764297966</v>
      </c>
      <c r="AZ39" s="4">
        <f>IF(AND($C$4=$A39,AZ$3&lt;&gt;""),AZ$3,'EBA2017'!AZ39)</f>
        <v>0</v>
      </c>
      <c r="BA39" s="12" t="str">
        <f>IF(AND($C$4=$A39,BA$3&lt;&gt;""),BA$3,'EBA2017'!BA39)</f>
        <v>N/A</v>
      </c>
      <c r="BB39" s="4" t="str">
        <f>IF(AND($C$4=$A39,BB$3&lt;&gt;""),BB$3,'EBA2017'!BB39)</f>
        <v>N/A</v>
      </c>
      <c r="BC39" s="30">
        <f t="shared" si="8"/>
        <v>45</v>
      </c>
      <c r="BD39" s="31">
        <f t="shared" si="9"/>
        <v>33.491379310344826</v>
      </c>
      <c r="BE39" s="4">
        <f>IF(AND($C$4=$A39,BE$3&lt;&gt;""),BE$3,'EBA2017'!BE39)</f>
        <v>10</v>
      </c>
      <c r="BF39" s="4">
        <f>IF(AND($C$4=$A39,BF$3&lt;&gt;""),BF$3,'EBA2017'!BF39)</f>
        <v>6.5</v>
      </c>
      <c r="BG39" s="30">
        <f t="shared" si="10"/>
        <v>22</v>
      </c>
      <c r="BH39" s="31">
        <f t="shared" si="11"/>
        <v>61.111111111111114</v>
      </c>
      <c r="BI39" s="4">
        <f>IF(AND($C$4=$A39,BI$3&lt;&gt;""),BI$3,'EBA2017'!BI39)</f>
        <v>5.5</v>
      </c>
    </row>
    <row r="40" spans="1:61" x14ac:dyDescent="0.2">
      <c r="A40" s="2" t="s">
        <v>84</v>
      </c>
      <c r="B40" s="3" t="s">
        <v>85</v>
      </c>
      <c r="C40" s="3" t="s">
        <v>16</v>
      </c>
      <c r="D40" s="3" t="s">
        <v>17</v>
      </c>
      <c r="E40" s="3" t="s">
        <v>18</v>
      </c>
      <c r="F40" s="3" t="s">
        <v>159</v>
      </c>
      <c r="G40" s="3" t="s">
        <v>163</v>
      </c>
      <c r="H40" s="30">
        <f t="shared" si="1"/>
        <v>52</v>
      </c>
      <c r="I40" s="31">
        <f>VLOOKUP($A40,'Seed Base Calc'!$A:$S,19,FALSE)</f>
        <v>36.98863636363636</v>
      </c>
      <c r="J40" s="4">
        <f>IF(AND($C$4=$A40,J$3&lt;&gt;""),J$3,'EBA2017'!J40)</f>
        <v>4</v>
      </c>
      <c r="K40" s="4">
        <f>IF(AND($C$4=$A40,K$3&lt;&gt;""),K$3,'EBA2017'!K40)</f>
        <v>5</v>
      </c>
      <c r="L40" s="4">
        <f>IF(AND($C$4=$A40,L$3&lt;&gt;""),L$3,'EBA2017'!L40)</f>
        <v>5</v>
      </c>
      <c r="M40" s="12" t="str">
        <f>IF(AND($C$4=$A40,M$3&lt;&gt;""),M$3,'EBA2017'!M40)</f>
        <v>No practice</v>
      </c>
      <c r="N40" s="4" t="str">
        <f>IF(AND($C$4=$A40,N$3&lt;&gt;""),N$3,'EBA2017'!N40)</f>
        <v>No practice</v>
      </c>
      <c r="O40" s="30">
        <f t="shared" si="2"/>
        <v>22</v>
      </c>
      <c r="P40" s="31">
        <f>VLOOKUP($A40,'Fert Base Calc'!$A:$S,19,FALSE)</f>
        <v>66.757080913022392</v>
      </c>
      <c r="Q40" s="4">
        <f>IF(AND($C$4=$A40,Q$3&lt;&gt;""),Q$3,'EBA2017'!Q40)</f>
        <v>4.5000000000000009</v>
      </c>
      <c r="R40" s="4">
        <f>IF(AND($C$4=$A40,R$3&lt;&gt;""),R$3,'EBA2017'!R40)</f>
        <v>3.5</v>
      </c>
      <c r="S40" s="4">
        <f>IF(AND($C$4=$A40,S$3&lt;&gt;""),S$3,'EBA2017'!S40)</f>
        <v>4.5000000000000009</v>
      </c>
      <c r="T40" s="12">
        <f>IF(AND($C$4=$A40,T$3&lt;&gt;""),T$3,'EBA2017'!T40)</f>
        <v>90</v>
      </c>
      <c r="U40" s="4">
        <f>IF(AND($C$4=$A40,U$3&lt;&gt;""),U$3,'EBA2017'!U40)</f>
        <v>124.40210375251506</v>
      </c>
      <c r="V40" s="30">
        <f t="shared" si="3"/>
        <v>61</v>
      </c>
      <c r="W40" s="31">
        <f>VLOOKUP($A40,'Mech Base Calc'!$A:$Z,24,FALSE)</f>
        <v>8.8333333333333339</v>
      </c>
      <c r="X40" s="4">
        <f>IF(AND($C$4=$A40,X$3&lt;&gt;""),X$3,'EBA2017'!X40)</f>
        <v>0</v>
      </c>
      <c r="Y40" s="4">
        <f>IF(AND($C$4=$A40,Y$3&lt;&gt;""),Y$3,'EBA2017'!Y40)</f>
        <v>0.33333333333333326</v>
      </c>
      <c r="Z40" s="4">
        <f>IF(AND($C$4=$A40,Z$3&lt;&gt;""),Z$3,'EBA2017'!Z40)</f>
        <v>2</v>
      </c>
      <c r="AA40" s="12" t="str">
        <f>IF(AND($C$4=$A40,AA$3&lt;&gt;""),AA$3,'EBA2017'!AA40)</f>
        <v>N/A</v>
      </c>
      <c r="AB40" s="4" t="str">
        <f>IF(AND($C$4=$A40,AB$3&lt;&gt;""),AB$3,'EBA2017'!AB40)</f>
        <v>N/A</v>
      </c>
      <c r="AC40" s="12" t="str">
        <f>IF(AND($C$4=$A40,AC$3&lt;&gt;""),AC$3,'EBA2017'!AC40)</f>
        <v>N/A</v>
      </c>
      <c r="AD40" s="4" t="str">
        <f>IF(AND($C$4=$A40,AD$3&lt;&gt;""),AD$3,'EBA2017'!AD40)</f>
        <v>N/A</v>
      </c>
      <c r="AE40" s="30">
        <f t="shared" si="4"/>
        <v>41</v>
      </c>
      <c r="AF40" s="31">
        <f>100*AVERAGE(IF(VLOOKUP(A40,'Data Gaps'!A:O,15,FALSE)="X",Calculator!AH40/4,AVERAGE(AG40/5,AH40/4)),AVERAGE(AI40/5,AJ40/8),IF(VLOOKUP(A40,'Data Gaps'!A:O,15,FALSE)="X",Calculator!AL40/7,AVERAGE(AK40/7,AL40/7)))</f>
        <v>43.353174603174608</v>
      </c>
      <c r="AG40" s="4">
        <f>IF(AND($C$4=$A40,AG$3&lt;&gt;""),AG$3,'EBA2017'!AG40)</f>
        <v>0</v>
      </c>
      <c r="AH40" s="4">
        <f>IF(AND($C$4=$A40,AH$3&lt;&gt;""),AH$3,'EBA2017'!AH40)</f>
        <v>3.8333333333333339</v>
      </c>
      <c r="AI40" s="4">
        <f>IF(AND($C$4=$A40,AI$3&lt;&gt;""),AI$3,'EBA2017'!AI40)</f>
        <v>0</v>
      </c>
      <c r="AJ40" s="4">
        <f>IF(AND($C$4=$A40,AJ$3&lt;&gt;""),AJ$3,'EBA2017'!AJ40)</f>
        <v>4</v>
      </c>
      <c r="AK40" s="4">
        <f>IF(AND($C$4=$A40,AK$3&lt;&gt;""),AK$3,'EBA2017'!AK40)</f>
        <v>4</v>
      </c>
      <c r="AL40" s="4">
        <f>IF(AND($C$4=$A40,AL$3&lt;&gt;""),AL$3,'EBA2017'!AL40)</f>
        <v>4</v>
      </c>
      <c r="AM40" s="30">
        <f t="shared" si="5"/>
        <v>44</v>
      </c>
      <c r="AN40" s="31">
        <f>VLOOKUP($A40,'Mark Base Calc'!$A:$Z,21,FALSE)</f>
        <v>51.776964639068289</v>
      </c>
      <c r="AO40" s="4">
        <f>IF(AND($C$4=$A40,AO$3&lt;&gt;""),AO$3,'EBA2017'!AO40)</f>
        <v>8</v>
      </c>
      <c r="AP40" s="4">
        <f>IF(AND($C$4=$A40,AP$3&lt;&gt;""),AP$3,'EBA2017'!AP40)</f>
        <v>2</v>
      </c>
      <c r="AQ40" s="4">
        <f>IF(AND($C$4=$A40,AQ$3&lt;&gt;""),AQ$3,'EBA2017'!AQ40)</f>
        <v>5.5</v>
      </c>
      <c r="AR40" s="12">
        <f>IF(AND($C$4=$A40,AR$3&lt;&gt;""),AR$3,'EBA2017'!AR40)</f>
        <v>1</v>
      </c>
      <c r="AS40" s="12">
        <f>IF(AND($C$4=$A40,AS$3&lt;&gt;""),AS$3,'EBA2017'!AS40)</f>
        <v>2</v>
      </c>
      <c r="AT40" s="4">
        <f>IF(AND($C$4=$A40,AT$3&lt;&gt;""),AT$3,'EBA2017'!AT40)</f>
        <v>4.1076166333377611</v>
      </c>
      <c r="AU40" s="30">
        <f t="shared" si="6"/>
        <v>42</v>
      </c>
      <c r="AV40" s="31">
        <f t="shared" si="7"/>
        <v>45.049463718850156</v>
      </c>
      <c r="AW40" s="4">
        <f>IF(AND($C$4=$A40,AW$3&lt;&gt;""),AW$3,'EBA2017'!AW40)</f>
        <v>3.5</v>
      </c>
      <c r="AX40" s="4">
        <f>IF(AND($C$4=$A40,AX$3&lt;&gt;""),AX$3,'EBA2017'!AX40)</f>
        <v>3</v>
      </c>
      <c r="AY40" s="4">
        <f>IF(AND($C$4=$A40,AY$3&lt;&gt;""),AY$3,'EBA2017'!AY40)</f>
        <v>3.7555352076230966</v>
      </c>
      <c r="AZ40" s="4">
        <f>IF(AND($C$4=$A40,AZ$3&lt;&gt;""),AZ$3,'EBA2017'!AZ40)</f>
        <v>5</v>
      </c>
      <c r="BA40" s="12" t="str">
        <f>IF(AND($C$4=$A40,BA$3&lt;&gt;""),BA$3,'EBA2017'!BA40)</f>
        <v>No practice</v>
      </c>
      <c r="BB40" s="4" t="str">
        <f>IF(AND($C$4=$A40,BB$3&lt;&gt;""),BB$3,'EBA2017'!BB40)</f>
        <v>No practice</v>
      </c>
      <c r="BC40" s="30">
        <f t="shared" si="8"/>
        <v>50</v>
      </c>
      <c r="BD40" s="31">
        <f t="shared" si="9"/>
        <v>24.439655172413794</v>
      </c>
      <c r="BE40" s="4">
        <f>IF(AND($C$4=$A40,BE$3&lt;&gt;""),BE$3,'EBA2017'!BE40)</f>
        <v>12</v>
      </c>
      <c r="BF40" s="4">
        <f>IF(AND($C$4=$A40,BF$3&lt;&gt;""),BF$3,'EBA2017'!BF40)</f>
        <v>1.5</v>
      </c>
      <c r="BG40" s="30">
        <f t="shared" si="10"/>
        <v>52</v>
      </c>
      <c r="BH40" s="31">
        <f t="shared" si="11"/>
        <v>38.888888888888893</v>
      </c>
      <c r="BI40" s="4">
        <f>IF(AND($C$4=$A40,BI$3&lt;&gt;""),BI$3,'EBA2017'!BI40)</f>
        <v>3.5000000000000004</v>
      </c>
    </row>
    <row r="41" spans="1:61" x14ac:dyDescent="0.2">
      <c r="A41" s="2" t="s">
        <v>86</v>
      </c>
      <c r="B41" s="3" t="s">
        <v>87</v>
      </c>
      <c r="C41" s="3" t="s">
        <v>21</v>
      </c>
      <c r="D41" s="3" t="s">
        <v>22</v>
      </c>
      <c r="E41" s="3" t="s">
        <v>25</v>
      </c>
      <c r="F41" s="3" t="s">
        <v>161</v>
      </c>
      <c r="G41" s="3" t="s">
        <v>158</v>
      </c>
      <c r="H41" s="30">
        <f t="shared" si="1"/>
        <v>24</v>
      </c>
      <c r="I41" s="31">
        <f>VLOOKUP($A41,'Seed Base Calc'!$A:$S,19,FALSE)</f>
        <v>64.655353384183428</v>
      </c>
      <c r="J41" s="4">
        <f>IF(AND($C$4=$A41,J$3&lt;&gt;""),J$3,'EBA2017'!J41)</f>
        <v>8</v>
      </c>
      <c r="K41" s="4">
        <f>IF(AND($C$4=$A41,K$3&lt;&gt;""),K$3,'EBA2017'!K41)</f>
        <v>5</v>
      </c>
      <c r="L41" s="4">
        <f>IF(AND($C$4=$A41,L$3&lt;&gt;""),L$3,'EBA2017'!L41)</f>
        <v>7</v>
      </c>
      <c r="M41" s="12">
        <f>IF(AND($C$4=$A41,M$3&lt;&gt;""),M$3,'EBA2017'!M41)</f>
        <v>621</v>
      </c>
      <c r="N41" s="4">
        <f>IF(AND($C$4=$A41,N$3&lt;&gt;""),N$3,'EBA2017'!N41)</f>
        <v>16.160026166289668</v>
      </c>
      <c r="O41" s="30">
        <f t="shared" si="2"/>
        <v>23</v>
      </c>
      <c r="P41" s="31">
        <f>VLOOKUP($A41,'Fert Base Calc'!$A:$S,19,FALSE)</f>
        <v>66.620624087555711</v>
      </c>
      <c r="Q41" s="4">
        <f>IF(AND($C$4=$A41,Q$3&lt;&gt;""),Q$3,'EBA2017'!Q41)</f>
        <v>6</v>
      </c>
      <c r="R41" s="4">
        <f>IF(AND($C$4=$A41,R$3&lt;&gt;""),R$3,'EBA2017'!R41)</f>
        <v>4</v>
      </c>
      <c r="S41" s="4">
        <f>IF(AND($C$4=$A41,S$3&lt;&gt;""),S$3,'EBA2017'!S41)</f>
        <v>4.5000000000000009</v>
      </c>
      <c r="T41" s="12">
        <f>IF(AND($C$4=$A41,T$3&lt;&gt;""),T$3,'EBA2017'!T41)</f>
        <v>765</v>
      </c>
      <c r="U41" s="4">
        <f>IF(AND($C$4=$A41,U$3&lt;&gt;""),U$3,'EBA2017'!U41)</f>
        <v>11.529061690333062</v>
      </c>
      <c r="V41" s="30">
        <f t="shared" si="3"/>
        <v>51</v>
      </c>
      <c r="W41" s="31">
        <f>VLOOKUP($A41,'Mech Base Calc'!$A:$Z,24,FALSE)</f>
        <v>26.875</v>
      </c>
      <c r="X41" s="4">
        <f>IF(AND($C$4=$A41,X$3&lt;&gt;""),X$3,'EBA2017'!X41)</f>
        <v>1</v>
      </c>
      <c r="Y41" s="4">
        <f>IF(AND($C$4=$A41,Y$3&lt;&gt;""),Y$3,'EBA2017'!Y41)</f>
        <v>3</v>
      </c>
      <c r="Z41" s="4">
        <f>IF(AND($C$4=$A41,Z$3&lt;&gt;""),Z$3,'EBA2017'!Z41)</f>
        <v>2.5</v>
      </c>
      <c r="AA41" s="12" t="str">
        <f>IF(AND($C$4=$A41,AA$3&lt;&gt;""),AA$3,'EBA2017'!AA41)</f>
        <v>N/A</v>
      </c>
      <c r="AB41" s="4" t="str">
        <f>IF(AND($C$4=$A41,AB$3&lt;&gt;""),AB$3,'EBA2017'!AB41)</f>
        <v>N/A</v>
      </c>
      <c r="AC41" s="12" t="str">
        <f>IF(AND($C$4=$A41,AC$3&lt;&gt;""),AC$3,'EBA2017'!AC41)</f>
        <v>No data</v>
      </c>
      <c r="AD41" s="4" t="str">
        <f>IF(AND($C$4=$A41,AD$3&lt;&gt;""),AD$3,'EBA2017'!AD41)</f>
        <v>No data</v>
      </c>
      <c r="AE41" s="30">
        <f t="shared" si="4"/>
        <v>9</v>
      </c>
      <c r="AF41" s="31">
        <f>100*AVERAGE(IF(VLOOKUP(A41,'Data Gaps'!A:O,15,FALSE)="X",Calculator!AH41/4,AVERAGE(AG41/5,AH41/4)),AVERAGE(AI41/5,AJ41/8),IF(VLOOKUP(A41,'Data Gaps'!A:O,15,FALSE)="X",Calculator!AL41/7,AVERAGE(AK41/7,AL41/7)))</f>
        <v>76.535714285714278</v>
      </c>
      <c r="AG41" s="4">
        <f>IF(AND($C$4=$A41,AG$3&lt;&gt;""),AG$3,'EBA2017'!AG41)</f>
        <v>4.1749999999999998</v>
      </c>
      <c r="AH41" s="4">
        <f>IF(AND($C$4=$A41,AH$3&lt;&gt;""),AH$3,'EBA2017'!AH41)</f>
        <v>0</v>
      </c>
      <c r="AI41" s="4">
        <f>IF(AND($C$4=$A41,AI$3&lt;&gt;""),AI$3,'EBA2017'!AI41)</f>
        <v>4.5</v>
      </c>
      <c r="AJ41" s="4">
        <f>IF(AND($C$4=$A41,AJ$3&lt;&gt;""),AJ$3,'EBA2017'!AJ41)</f>
        <v>8</v>
      </c>
      <c r="AK41" s="4">
        <f>IF(AND($C$4=$A41,AK$3&lt;&gt;""),AK$3,'EBA2017'!AK41)</f>
        <v>6</v>
      </c>
      <c r="AL41" s="4">
        <f>IF(AND($C$4=$A41,AL$3&lt;&gt;""),AL$3,'EBA2017'!AL41)</f>
        <v>7</v>
      </c>
      <c r="AM41" s="30">
        <f t="shared" si="5"/>
        <v>3</v>
      </c>
      <c r="AN41" s="31">
        <f>VLOOKUP($A41,'Mark Base Calc'!$A:$Z,21,FALSE)</f>
        <v>83.084991699092043</v>
      </c>
      <c r="AO41" s="4">
        <f>IF(AND($C$4=$A41,AO$3&lt;&gt;""),AO$3,'EBA2017'!AO41)</f>
        <v>9.75</v>
      </c>
      <c r="AP41" s="4">
        <f>IF(AND($C$4=$A41,AP$3&lt;&gt;""),AP$3,'EBA2017'!AP41)</f>
        <v>7</v>
      </c>
      <c r="AQ41" s="4">
        <f>IF(AND($C$4=$A41,AQ$3&lt;&gt;""),AQ$3,'EBA2017'!AQ41)</f>
        <v>7.5</v>
      </c>
      <c r="AR41" s="12">
        <f>IF(AND($C$4=$A41,AR$3&lt;&gt;""),AR$3,'EBA2017'!AR41)</f>
        <v>1</v>
      </c>
      <c r="AS41" s="12">
        <f>IF(AND($C$4=$A41,AS$3&lt;&gt;""),AS$3,'EBA2017'!AS41)</f>
        <v>1</v>
      </c>
      <c r="AT41" s="4">
        <f>IF(AND($C$4=$A41,AT$3&lt;&gt;""),AT$3,'EBA2017'!AT41)</f>
        <v>0.33456442030230626</v>
      </c>
      <c r="AU41" s="30">
        <f t="shared" si="6"/>
        <v>20</v>
      </c>
      <c r="AV41" s="31">
        <f t="shared" si="7"/>
        <v>67.990748352390213</v>
      </c>
      <c r="AW41" s="4">
        <f>IF(AND($C$4=$A41,AW$3&lt;&gt;""),AW$3,'EBA2017'!AW41)</f>
        <v>7.4999999999999991</v>
      </c>
      <c r="AX41" s="4">
        <f>IF(AND($C$4=$A41,AX$3&lt;&gt;""),AX$3,'EBA2017'!AX41)</f>
        <v>30</v>
      </c>
      <c r="AY41" s="4">
        <f>IF(AND($C$4=$A41,AY$3&lt;&gt;""),AY$3,'EBA2017'!AY41)</f>
        <v>3.9928428399593372</v>
      </c>
      <c r="AZ41" s="4">
        <f>IF(AND($C$4=$A41,AZ$3&lt;&gt;""),AZ$3,'EBA2017'!AZ41)</f>
        <v>5</v>
      </c>
      <c r="BA41" s="12">
        <f>IF(AND($C$4=$A41,BA$3&lt;&gt;""),BA$3,'EBA2017'!BA41)</f>
        <v>30</v>
      </c>
      <c r="BB41" s="4">
        <f>IF(AND($C$4=$A41,BB$3&lt;&gt;""),BB$3,'EBA2017'!BB41)</f>
        <v>3.0895983522142121</v>
      </c>
      <c r="BC41" s="30">
        <f t="shared" si="8"/>
        <v>2</v>
      </c>
      <c r="BD41" s="31">
        <f t="shared" si="9"/>
        <v>91.25</v>
      </c>
      <c r="BE41" s="4">
        <f>IF(AND($C$4=$A41,BE$3&lt;&gt;""),BE$3,'EBA2017'!BE41)</f>
        <v>29</v>
      </c>
      <c r="BF41" s="4">
        <f>IF(AND($C$4=$A41,BF$3&lt;&gt;""),BF$3,'EBA2017'!BF41)</f>
        <v>16.5</v>
      </c>
      <c r="BG41" s="30">
        <f t="shared" si="10"/>
        <v>9</v>
      </c>
      <c r="BH41" s="31">
        <f t="shared" si="11"/>
        <v>88.888888888888886</v>
      </c>
      <c r="BI41" s="4">
        <f>IF(AND($C$4=$A41,BI$3&lt;&gt;""),BI$3,'EBA2017'!BI41)</f>
        <v>8</v>
      </c>
    </row>
    <row r="42" spans="1:61" x14ac:dyDescent="0.2">
      <c r="A42" s="2" t="s">
        <v>88</v>
      </c>
      <c r="B42" s="3" t="s">
        <v>89</v>
      </c>
      <c r="C42" s="3" t="s">
        <v>49</v>
      </c>
      <c r="D42" s="3" t="s">
        <v>50</v>
      </c>
      <c r="E42" s="3" t="s">
        <v>9</v>
      </c>
      <c r="F42" s="3" t="s">
        <v>161</v>
      </c>
      <c r="G42" s="3" t="s">
        <v>158</v>
      </c>
      <c r="H42" s="30">
        <f t="shared" si="1"/>
        <v>20</v>
      </c>
      <c r="I42" s="31">
        <f>VLOOKUP($A42,'Seed Base Calc'!$A:$S,19,FALSE)</f>
        <v>67.866976671814015</v>
      </c>
      <c r="J42" s="4">
        <f>IF(AND($C$4=$A42,J$3&lt;&gt;""),J$3,'EBA2017'!J42)</f>
        <v>10</v>
      </c>
      <c r="K42" s="4">
        <f>IF(AND($C$4=$A42,K$3&lt;&gt;""),K$3,'EBA2017'!K42)</f>
        <v>4.5</v>
      </c>
      <c r="L42" s="4">
        <f>IF(AND($C$4=$A42,L$3&lt;&gt;""),L$3,'EBA2017'!L42)</f>
        <v>6.5</v>
      </c>
      <c r="M42" s="12">
        <f>IF(AND($C$4=$A42,M$3&lt;&gt;""),M$3,'EBA2017'!M42)</f>
        <v>584</v>
      </c>
      <c r="N42" s="4">
        <f>IF(AND($C$4=$A42,N$3&lt;&gt;""),N$3,'EBA2017'!N42)</f>
        <v>18.132427180903157</v>
      </c>
      <c r="O42" s="30">
        <f t="shared" si="2"/>
        <v>51</v>
      </c>
      <c r="P42" s="31">
        <f>VLOOKUP($A42,'Fert Base Calc'!$A:$S,19,FALSE)</f>
        <v>32.142857142857139</v>
      </c>
      <c r="Q42" s="4">
        <f>IF(AND($C$4=$A42,Q$3&lt;&gt;""),Q$3,'EBA2017'!Q42)</f>
        <v>0</v>
      </c>
      <c r="R42" s="4">
        <f>IF(AND($C$4=$A42,R$3&lt;&gt;""),R$3,'EBA2017'!R42)</f>
        <v>5.5</v>
      </c>
      <c r="S42" s="4">
        <f>IF(AND($C$4=$A42,S$3&lt;&gt;""),S$3,'EBA2017'!S42)</f>
        <v>3.5</v>
      </c>
      <c r="T42" s="12" t="str">
        <f>IF(AND($C$4=$A42,T$3&lt;&gt;""),T$3,'EBA2017'!T42)</f>
        <v>N/A</v>
      </c>
      <c r="U42" s="4" t="str">
        <f>IF(AND($C$4=$A42,U$3&lt;&gt;""),U$3,'EBA2017'!U42)</f>
        <v>N/A</v>
      </c>
      <c r="V42" s="30">
        <f t="shared" si="3"/>
        <v>17</v>
      </c>
      <c r="W42" s="31">
        <f>VLOOKUP($A42,'Mech Base Calc'!$A:$Z,24,FALSE)</f>
        <v>60.331878652811085</v>
      </c>
      <c r="X42" s="4">
        <f>IF(AND($C$4=$A42,X$3&lt;&gt;""),X$3,'EBA2017'!X42)</f>
        <v>0.5</v>
      </c>
      <c r="Y42" s="4">
        <f>IF(AND($C$4=$A42,Y$3&lt;&gt;""),Y$3,'EBA2017'!Y42)</f>
        <v>5</v>
      </c>
      <c r="Z42" s="4">
        <f>IF(AND($C$4=$A42,Z$3&lt;&gt;""),Z$3,'EBA2017'!Z42)</f>
        <v>3</v>
      </c>
      <c r="AA42" s="12">
        <f>IF(AND($C$4=$A42,AA$3&lt;&gt;""),AA$3,'EBA2017'!AA42)</f>
        <v>31</v>
      </c>
      <c r="AB42" s="4">
        <f>IF(AND($C$4=$A42,AB$3&lt;&gt;""),AB$3,'EBA2017'!AB42)</f>
        <v>271.98640771354741</v>
      </c>
      <c r="AC42" s="12">
        <f>IF(AND($C$4=$A42,AC$3&lt;&gt;""),AC$3,'EBA2017'!AC42)</f>
        <v>1</v>
      </c>
      <c r="AD42" s="4">
        <f>IF(AND($C$4=$A42,AD$3&lt;&gt;""),AD$3,'EBA2017'!AD42)</f>
        <v>1.2874023298441242</v>
      </c>
      <c r="AE42" s="30">
        <f t="shared" si="4"/>
        <v>57</v>
      </c>
      <c r="AF42" s="31">
        <f>100*AVERAGE(IF(VLOOKUP(A42,'Data Gaps'!A:O,15,FALSE)="X",Calculator!AH42/4,AVERAGE(AG42/5,AH42/4)),AVERAGE(AI42/5,AJ42/8),IF(VLOOKUP(A42,'Data Gaps'!A:O,15,FALSE)="X",Calculator!AL42/7,AVERAGE(AK42/7,AL42/7)))</f>
        <v>28.999999999999996</v>
      </c>
      <c r="AG42" s="4">
        <f>IF(AND($C$4=$A42,AG$3&lt;&gt;""),AG$3,'EBA2017'!AG42)</f>
        <v>2.5750000000000002</v>
      </c>
      <c r="AH42" s="4">
        <f>IF(AND($C$4=$A42,AH$3&lt;&gt;""),AH$3,'EBA2017'!AH42)</f>
        <v>1</v>
      </c>
      <c r="AI42" s="4">
        <f>IF(AND($C$4=$A42,AI$3&lt;&gt;""),AI$3,'EBA2017'!AI42)</f>
        <v>3</v>
      </c>
      <c r="AJ42" s="4">
        <f>IF(AND($C$4=$A42,AJ$3&lt;&gt;""),AJ$3,'EBA2017'!AJ42)</f>
        <v>3</v>
      </c>
      <c r="AK42" s="4">
        <f>IF(AND($C$4=$A42,AK$3&lt;&gt;""),AK$3,'EBA2017'!AK42)</f>
        <v>0</v>
      </c>
      <c r="AL42" s="4">
        <f>IF(AND($C$4=$A42,AL$3&lt;&gt;""),AL$3,'EBA2017'!AL42)</f>
        <v>0</v>
      </c>
      <c r="AM42" s="30">
        <f t="shared" si="5"/>
        <v>24</v>
      </c>
      <c r="AN42" s="31">
        <f>VLOOKUP($A42,'Mark Base Calc'!$A:$Z,21,FALSE)</f>
        <v>64.215652996325701</v>
      </c>
      <c r="AO42" s="4">
        <f>IF(AND($C$4=$A42,AO$3&lt;&gt;""),AO$3,'EBA2017'!AO42)</f>
        <v>6.8</v>
      </c>
      <c r="AP42" s="4">
        <f>IF(AND($C$4=$A42,AP$3&lt;&gt;""),AP$3,'EBA2017'!AP42)</f>
        <v>6.5</v>
      </c>
      <c r="AQ42" s="4">
        <f>IF(AND($C$4=$A42,AQ$3&lt;&gt;""),AQ$3,'EBA2017'!AQ42)</f>
        <v>5</v>
      </c>
      <c r="AR42" s="12">
        <f>IF(AND($C$4=$A42,AR$3&lt;&gt;""),AR$3,'EBA2017'!AR42)</f>
        <v>2</v>
      </c>
      <c r="AS42" s="12">
        <f>IF(AND($C$4=$A42,AS$3&lt;&gt;""),AS$3,'EBA2017'!AS42)</f>
        <v>4</v>
      </c>
      <c r="AT42" s="4">
        <f>IF(AND($C$4=$A42,AT$3&lt;&gt;""),AT$3,'EBA2017'!AT42)</f>
        <v>0.54397281542709486</v>
      </c>
      <c r="AU42" s="30">
        <f t="shared" si="6"/>
        <v>8</v>
      </c>
      <c r="AV42" s="31">
        <f t="shared" si="7"/>
        <v>79.890678941311847</v>
      </c>
      <c r="AW42" s="4">
        <f>IF(AND($C$4=$A42,AW$3&lt;&gt;""),AW$3,'EBA2017'!AW42)</f>
        <v>6.1666666666666679</v>
      </c>
      <c r="AX42" s="4">
        <f>IF(AND($C$4=$A42,AX$3&lt;&gt;""),AX$3,'EBA2017'!AX42)</f>
        <v>6</v>
      </c>
      <c r="AY42" s="4">
        <f>IF(AND($C$4=$A42,AY$3&lt;&gt;""),AY$3,'EBA2017'!AY42)</f>
        <v>0</v>
      </c>
      <c r="AZ42" s="4">
        <f>IF(AND($C$4=$A42,AZ$3&lt;&gt;""),AZ$3,'EBA2017'!AZ42)</f>
        <v>5.9999999999999991</v>
      </c>
      <c r="BA42" s="12">
        <f>IF(AND($C$4=$A42,BA$3&lt;&gt;""),BA$3,'EBA2017'!BA42)</f>
        <v>1</v>
      </c>
      <c r="BB42" s="4">
        <f>IF(AND($C$4=$A42,BB$3&lt;&gt;""),BB$3,'EBA2017'!BB42)</f>
        <v>0</v>
      </c>
      <c r="BC42" s="30">
        <f t="shared" si="8"/>
        <v>8</v>
      </c>
      <c r="BD42" s="31">
        <f t="shared" si="9"/>
        <v>76.59482758620689</v>
      </c>
      <c r="BE42" s="4">
        <f>IF(AND($C$4=$A42,BE$3&lt;&gt;""),BE$3,'EBA2017'!BE42)</f>
        <v>20.5</v>
      </c>
      <c r="BF42" s="4">
        <f>IF(AND($C$4=$A42,BF$3&lt;&gt;""),BF$3,'EBA2017'!BF42)</f>
        <v>16.5</v>
      </c>
      <c r="BG42" s="30">
        <f t="shared" si="10"/>
        <v>18</v>
      </c>
      <c r="BH42" s="31">
        <f t="shared" si="11"/>
        <v>66.666666666666657</v>
      </c>
      <c r="BI42" s="4">
        <f>IF(AND($C$4=$A42,BI$3&lt;&gt;""),BI$3,'EBA2017'!BI42)</f>
        <v>5.9999999999999991</v>
      </c>
    </row>
    <row r="43" spans="1:61" x14ac:dyDescent="0.2">
      <c r="A43" s="2" t="s">
        <v>90</v>
      </c>
      <c r="B43" s="3" t="s">
        <v>91</v>
      </c>
      <c r="C43" s="3" t="s">
        <v>16</v>
      </c>
      <c r="D43" s="3" t="s">
        <v>17</v>
      </c>
      <c r="E43" s="3" t="s">
        <v>18</v>
      </c>
      <c r="F43" s="3" t="s">
        <v>159</v>
      </c>
      <c r="G43" s="3" t="s">
        <v>158</v>
      </c>
      <c r="H43" s="30">
        <f t="shared" si="1"/>
        <v>23</v>
      </c>
      <c r="I43" s="31">
        <f>VLOOKUP($A43,'Seed Base Calc'!$A:$S,19,FALSE)</f>
        <v>65.68077412047495</v>
      </c>
      <c r="J43" s="4">
        <f>IF(AND($C$4=$A43,J$3&lt;&gt;""),J$3,'EBA2017'!J43)</f>
        <v>8</v>
      </c>
      <c r="K43" s="4">
        <f>IF(AND($C$4=$A43,K$3&lt;&gt;""),K$3,'EBA2017'!K43)</f>
        <v>6</v>
      </c>
      <c r="L43" s="4">
        <f>IF(AND($C$4=$A43,L$3&lt;&gt;""),L$3,'EBA2017'!L43)</f>
        <v>6</v>
      </c>
      <c r="M43" s="12">
        <f>IF(AND($C$4=$A43,M$3&lt;&gt;""),M$3,'EBA2017'!M43)</f>
        <v>582</v>
      </c>
      <c r="N43" s="4">
        <f>IF(AND($C$4=$A43,N$3&lt;&gt;""),N$3,'EBA2017'!N43)</f>
        <v>86.206896551724128</v>
      </c>
      <c r="O43" s="30">
        <f t="shared" si="2"/>
        <v>47</v>
      </c>
      <c r="P43" s="31">
        <f>VLOOKUP($A43,'Fert Base Calc'!$A:$S,19,FALSE)</f>
        <v>38.928571428571431</v>
      </c>
      <c r="Q43" s="4">
        <f>IF(AND($C$4=$A43,Q$3&lt;&gt;""),Q$3,'EBA2017'!Q43)</f>
        <v>3.4</v>
      </c>
      <c r="R43" s="4">
        <f>IF(AND($C$4=$A43,R$3&lt;&gt;""),R$3,'EBA2017'!R43)</f>
        <v>4</v>
      </c>
      <c r="S43" s="4">
        <f>IF(AND($C$4=$A43,S$3&lt;&gt;""),S$3,'EBA2017'!S43)</f>
        <v>3.5</v>
      </c>
      <c r="T43" s="12" t="str">
        <f>IF(AND($C$4=$A43,T$3&lt;&gt;""),T$3,'EBA2017'!T43)</f>
        <v>No practice</v>
      </c>
      <c r="U43" s="4" t="str">
        <f>IF(AND($C$4=$A43,U$3&lt;&gt;""),U$3,'EBA2017'!U43)</f>
        <v>No practice</v>
      </c>
      <c r="V43" s="30">
        <f t="shared" si="3"/>
        <v>47</v>
      </c>
      <c r="W43" s="31">
        <f>VLOOKUP($A43,'Mech Base Calc'!$A:$Z,24,FALSE)</f>
        <v>34.575614656911497</v>
      </c>
      <c r="X43" s="4">
        <f>IF(AND($C$4=$A43,X$3&lt;&gt;""),X$3,'EBA2017'!X43)</f>
        <v>0.5</v>
      </c>
      <c r="Y43" s="4">
        <f>IF(AND($C$4=$A43,Y$3&lt;&gt;""),Y$3,'EBA2017'!Y43)</f>
        <v>2.3333333333333335</v>
      </c>
      <c r="Z43" s="4">
        <f>IF(AND($C$4=$A43,Z$3&lt;&gt;""),Z$3,'EBA2017'!Z43)</f>
        <v>4.5</v>
      </c>
      <c r="AA43" s="12" t="str">
        <f>IF(AND($C$4=$A43,AA$3&lt;&gt;""),AA$3,'EBA2017'!AA43)</f>
        <v>N/A</v>
      </c>
      <c r="AB43" s="4" t="str">
        <f>IF(AND($C$4=$A43,AB$3&lt;&gt;""),AB$3,'EBA2017'!AB43)</f>
        <v>N/A</v>
      </c>
      <c r="AC43" s="12">
        <f>IF(AND($C$4=$A43,AC$3&lt;&gt;""),AC$3,'EBA2017'!AC43)</f>
        <v>20</v>
      </c>
      <c r="AD43" s="4">
        <f>IF(AND($C$4=$A43,AD$3&lt;&gt;""),AD$3,'EBA2017'!AD43)</f>
        <v>14.624280806810114</v>
      </c>
      <c r="AE43" s="30">
        <f t="shared" si="4"/>
        <v>25</v>
      </c>
      <c r="AF43" s="31">
        <f>100*AVERAGE(IF(VLOOKUP(A43,'Data Gaps'!A:O,15,FALSE)="X",Calculator!AH43/4,AVERAGE(AG43/5,AH43/4)),AVERAGE(AI43/5,AJ43/8),IF(VLOOKUP(A43,'Data Gaps'!A:O,15,FALSE)="X",Calculator!AL43/7,AVERAGE(AK43/7,AL43/7)))</f>
        <v>55.095238095238095</v>
      </c>
      <c r="AG43" s="4">
        <f>IF(AND($C$4=$A43,AG$3&lt;&gt;""),AG$3,'EBA2017'!AG43)</f>
        <v>3.85</v>
      </c>
      <c r="AH43" s="4">
        <f>IF(AND($C$4=$A43,AH$3&lt;&gt;""),AH$3,'EBA2017'!AH43)</f>
        <v>1</v>
      </c>
      <c r="AI43" s="4">
        <f>IF(AND($C$4=$A43,AI$3&lt;&gt;""),AI$3,'EBA2017'!AI43)</f>
        <v>3.75</v>
      </c>
      <c r="AJ43" s="4">
        <f>IF(AND($C$4=$A43,AJ$3&lt;&gt;""),AJ$3,'EBA2017'!AJ43)</f>
        <v>2</v>
      </c>
      <c r="AK43" s="4">
        <f>IF(AND($C$4=$A43,AK$3&lt;&gt;""),AK$3,'EBA2017'!AK43)</f>
        <v>4</v>
      </c>
      <c r="AL43" s="4">
        <f>IF(AND($C$4=$A43,AL$3&lt;&gt;""),AL$3,'EBA2017'!AL43)</f>
        <v>5</v>
      </c>
      <c r="AM43" s="30">
        <f t="shared" si="5"/>
        <v>30</v>
      </c>
      <c r="AN43" s="31">
        <f>VLOOKUP($A43,'Mark Base Calc'!$A:$Z,21,FALSE)</f>
        <v>59.523753824128242</v>
      </c>
      <c r="AO43" s="4">
        <f>IF(AND($C$4=$A43,AO$3&lt;&gt;""),AO$3,'EBA2017'!AO43)</f>
        <v>8.1</v>
      </c>
      <c r="AP43" s="4">
        <f>IF(AND($C$4=$A43,AP$3&lt;&gt;""),AP$3,'EBA2017'!AP43)</f>
        <v>5</v>
      </c>
      <c r="AQ43" s="4">
        <f>IF(AND($C$4=$A43,AQ$3&lt;&gt;""),AQ$3,'EBA2017'!AQ43)</f>
        <v>5</v>
      </c>
      <c r="AR43" s="12">
        <f>IF(AND($C$4=$A43,AR$3&lt;&gt;""),AR$3,'EBA2017'!AR43)</f>
        <v>1</v>
      </c>
      <c r="AS43" s="12">
        <f>IF(AND($C$4=$A43,AS$3&lt;&gt;""),AS$3,'EBA2017'!AS43)</f>
        <v>7</v>
      </c>
      <c r="AT43" s="4">
        <f>IF(AND($C$4=$A43,AT$3&lt;&gt;""),AT$3,'EBA2017'!AT43)</f>
        <v>1.9986517102640489</v>
      </c>
      <c r="AU43" s="30">
        <f t="shared" si="6"/>
        <v>33</v>
      </c>
      <c r="AV43" s="31">
        <f t="shared" si="7"/>
        <v>54.907723225399408</v>
      </c>
      <c r="AW43" s="4">
        <f>IF(AND($C$4=$A43,AW$3&lt;&gt;""),AW$3,'EBA2017'!AW43)</f>
        <v>5</v>
      </c>
      <c r="AX43" s="4">
        <f>IF(AND($C$4=$A43,AX$3&lt;&gt;""),AX$3,'EBA2017'!AX43)</f>
        <v>2.5</v>
      </c>
      <c r="AY43" s="4">
        <f>IF(AND($C$4=$A43,AY$3&lt;&gt;""),AY$3,'EBA2017'!AY43)</f>
        <v>19.49904107574682</v>
      </c>
      <c r="AZ43" s="4">
        <f>IF(AND($C$4=$A43,AZ$3&lt;&gt;""),AZ$3,'EBA2017'!AZ43)</f>
        <v>5</v>
      </c>
      <c r="BA43" s="12">
        <f>IF(AND($C$4=$A43,BA$3&lt;&gt;""),BA$3,'EBA2017'!BA43)</f>
        <v>2.5</v>
      </c>
      <c r="BB43" s="4">
        <f>IF(AND($C$4=$A43,BB$3&lt;&gt;""),BB$3,'EBA2017'!BB43)</f>
        <v>58.497123227240458</v>
      </c>
      <c r="BC43" s="30">
        <f t="shared" si="8"/>
        <v>21</v>
      </c>
      <c r="BD43" s="31">
        <f t="shared" si="9"/>
        <v>63.362068965517238</v>
      </c>
      <c r="BE43" s="4">
        <f>IF(AND($C$4=$A43,BE$3&lt;&gt;""),BE$3,'EBA2017'!BE43)</f>
        <v>15.000000000000002</v>
      </c>
      <c r="BF43" s="4">
        <f>IF(AND($C$4=$A43,BF$3&lt;&gt;""),BF$3,'EBA2017'!BF43)</f>
        <v>15</v>
      </c>
      <c r="BG43" s="30">
        <f t="shared" si="10"/>
        <v>22</v>
      </c>
      <c r="BH43" s="31">
        <f t="shared" si="11"/>
        <v>61.111111111111114</v>
      </c>
      <c r="BI43" s="4">
        <f>IF(AND($C$4=$A43,BI$3&lt;&gt;""),BI$3,'EBA2017'!BI43)</f>
        <v>5.5</v>
      </c>
    </row>
    <row r="44" spans="1:61" x14ac:dyDescent="0.2">
      <c r="A44" s="2" t="s">
        <v>92</v>
      </c>
      <c r="B44" s="3" t="s">
        <v>93</v>
      </c>
      <c r="C44" s="3" t="s">
        <v>32</v>
      </c>
      <c r="D44" s="3" t="s">
        <v>33</v>
      </c>
      <c r="E44" s="3" t="s">
        <v>9</v>
      </c>
      <c r="F44" s="3" t="s">
        <v>161</v>
      </c>
      <c r="G44" s="3" t="s">
        <v>158</v>
      </c>
      <c r="H44" s="30">
        <f t="shared" si="1"/>
        <v>34</v>
      </c>
      <c r="I44" s="31">
        <f>VLOOKUP($A44,'Seed Base Calc'!$A:$S,19,FALSE)</f>
        <v>54.599096630283171</v>
      </c>
      <c r="J44" s="4">
        <f>IF(AND($C$4=$A44,J$3&lt;&gt;""),J$3,'EBA2017'!J44)</f>
        <v>7</v>
      </c>
      <c r="K44" s="4">
        <f>IF(AND($C$4=$A44,K$3&lt;&gt;""),K$3,'EBA2017'!K44)</f>
        <v>3</v>
      </c>
      <c r="L44" s="4">
        <f>IF(AND($C$4=$A44,L$3&lt;&gt;""),L$3,'EBA2017'!L44)</f>
        <v>3</v>
      </c>
      <c r="M44" s="12">
        <f>IF(AND($C$4=$A44,M$3&lt;&gt;""),M$3,'EBA2017'!M44)</f>
        <v>306</v>
      </c>
      <c r="N44" s="4">
        <f>IF(AND($C$4=$A44,N$3&lt;&gt;""),N$3,'EBA2017'!N44)</f>
        <v>26.603349048226509</v>
      </c>
      <c r="O44" s="30">
        <f t="shared" si="2"/>
        <v>30</v>
      </c>
      <c r="P44" s="31">
        <f>VLOOKUP($A44,'Fert Base Calc'!$A:$S,19,FALSE)</f>
        <v>61.637065320147286</v>
      </c>
      <c r="Q44" s="4">
        <f>IF(AND($C$4=$A44,Q$3&lt;&gt;""),Q$3,'EBA2017'!Q44)</f>
        <v>4.4000000000000004</v>
      </c>
      <c r="R44" s="4">
        <f>IF(AND($C$4=$A44,R$3&lt;&gt;""),R$3,'EBA2017'!R44)</f>
        <v>3</v>
      </c>
      <c r="S44" s="4">
        <f>IF(AND($C$4=$A44,S$3&lt;&gt;""),S$3,'EBA2017'!S44)</f>
        <v>3</v>
      </c>
      <c r="T44" s="12">
        <f>IF(AND($C$4=$A44,T$3&lt;&gt;""),T$3,'EBA2017'!T44)</f>
        <v>41</v>
      </c>
      <c r="U44" s="4">
        <f>IF(AND($C$4=$A44,U$3&lt;&gt;""),U$3,'EBA2017'!U44)</f>
        <v>7.3159209882622909</v>
      </c>
      <c r="V44" s="30">
        <f t="shared" si="3"/>
        <v>62</v>
      </c>
      <c r="W44" s="31">
        <f>VLOOKUP($A44,'Mech Base Calc'!$A:$Z,24,FALSE)</f>
        <v>2.833333333333333</v>
      </c>
      <c r="X44" s="4">
        <f>IF(AND($C$4=$A44,X$3&lt;&gt;""),X$3,'EBA2017'!X44)</f>
        <v>0</v>
      </c>
      <c r="Y44" s="4">
        <f>IF(AND($C$4=$A44,Y$3&lt;&gt;""),Y$3,'EBA2017'!Y44)</f>
        <v>0.33333333333333326</v>
      </c>
      <c r="Z44" s="4">
        <f>IF(AND($C$4=$A44,Z$3&lt;&gt;""),Z$3,'EBA2017'!Z44)</f>
        <v>0.5</v>
      </c>
      <c r="AA44" s="12" t="str">
        <f>IF(AND($C$4=$A44,AA$3&lt;&gt;""),AA$3,'EBA2017'!AA44)</f>
        <v>N/A</v>
      </c>
      <c r="AB44" s="4" t="str">
        <f>IF(AND($C$4=$A44,AB$3&lt;&gt;""),AB$3,'EBA2017'!AB44)</f>
        <v>N/A</v>
      </c>
      <c r="AC44" s="12" t="str">
        <f>IF(AND($C$4=$A44,AC$3&lt;&gt;""),AC$3,'EBA2017'!AC44)</f>
        <v>N/A</v>
      </c>
      <c r="AD44" s="4" t="str">
        <f>IF(AND($C$4=$A44,AD$3&lt;&gt;""),AD$3,'EBA2017'!AD44)</f>
        <v>N/A</v>
      </c>
      <c r="AE44" s="30">
        <f t="shared" si="4"/>
        <v>61</v>
      </c>
      <c r="AF44" s="31">
        <f>100*AVERAGE(IF(VLOOKUP(A44,'Data Gaps'!A:O,15,FALSE)="X",Calculator!AH44/4,AVERAGE(AG44/5,AH44/4)),AVERAGE(AI44/5,AJ44/8),IF(VLOOKUP(A44,'Data Gaps'!A:O,15,FALSE)="X",Calculator!AL44/7,AVERAGE(AK44/7,AL44/7)))</f>
        <v>22.916666666666664</v>
      </c>
      <c r="AG44" s="4">
        <f>IF(AND($C$4=$A44,AG$3&lt;&gt;""),AG$3,'EBA2017'!AG44)</f>
        <v>0</v>
      </c>
      <c r="AH44" s="4">
        <f>IF(AND($C$4=$A44,AH$3&lt;&gt;""),AH$3,'EBA2017'!AH44)</f>
        <v>1</v>
      </c>
      <c r="AI44" s="4">
        <f>IF(AND($C$4=$A44,AI$3&lt;&gt;""),AI$3,'EBA2017'!AI44)</f>
        <v>0</v>
      </c>
      <c r="AJ44" s="4">
        <f>IF(AND($C$4=$A44,AJ$3&lt;&gt;""),AJ$3,'EBA2017'!AJ44)</f>
        <v>1</v>
      </c>
      <c r="AK44" s="4">
        <f>IF(AND($C$4=$A44,AK$3&lt;&gt;""),AK$3,'EBA2017'!AK44)</f>
        <v>3</v>
      </c>
      <c r="AL44" s="4">
        <f>IF(AND($C$4=$A44,AL$3&lt;&gt;""),AL$3,'EBA2017'!AL44)</f>
        <v>4</v>
      </c>
      <c r="AM44" s="30">
        <f t="shared" si="5"/>
        <v>53</v>
      </c>
      <c r="AN44" s="31">
        <f>VLOOKUP($A44,'Mark Base Calc'!$A:$Z,21,FALSE)</f>
        <v>42.326440528762468</v>
      </c>
      <c r="AO44" s="4">
        <f>IF(AND($C$4=$A44,AO$3&lt;&gt;""),AO$3,'EBA2017'!AO44)</f>
        <v>6.5</v>
      </c>
      <c r="AP44" s="4">
        <f>IF(AND($C$4=$A44,AP$3&lt;&gt;""),AP$3,'EBA2017'!AP44)</f>
        <v>0</v>
      </c>
      <c r="AQ44" s="4">
        <f>IF(AND($C$4=$A44,AQ$3&lt;&gt;""),AQ$3,'EBA2017'!AQ44)</f>
        <v>5</v>
      </c>
      <c r="AR44" s="12">
        <f>IF(AND($C$4=$A44,AR$3&lt;&gt;""),AR$3,'EBA2017'!AR44)</f>
        <v>2</v>
      </c>
      <c r="AS44" s="12">
        <f>IF(AND($C$4=$A44,AS$3&lt;&gt;""),AS$3,'EBA2017'!AS44)</f>
        <v>4</v>
      </c>
      <c r="AT44" s="4">
        <f>IF(AND($C$4=$A44,AT$3&lt;&gt;""),AT$3,'EBA2017'!AT44)</f>
        <v>1.1722100674374807</v>
      </c>
      <c r="AU44" s="30">
        <f t="shared" si="6"/>
        <v>51</v>
      </c>
      <c r="AV44" s="31">
        <f t="shared" si="7"/>
        <v>30.185169715865324</v>
      </c>
      <c r="AW44" s="4">
        <f>IF(AND($C$4=$A44,AW$3&lt;&gt;""),AW$3,'EBA2017'!AW44)</f>
        <v>1.4999999999999998</v>
      </c>
      <c r="AX44" s="4">
        <f>IF(AND($C$4=$A44,AX$3&lt;&gt;""),AX$3,'EBA2017'!AX44)</f>
        <v>7</v>
      </c>
      <c r="AY44" s="4">
        <f>IF(AND($C$4=$A44,AY$3&lt;&gt;""),AY$3,'EBA2017'!AY44)</f>
        <v>0.13301674524113255</v>
      </c>
      <c r="AZ44" s="4">
        <f>IF(AND($C$4=$A44,AZ$3&lt;&gt;""),AZ$3,'EBA2017'!AZ44)</f>
        <v>1</v>
      </c>
      <c r="BA44" s="12" t="str">
        <f>IF(AND($C$4=$A44,BA$3&lt;&gt;""),BA$3,'EBA2017'!BA44)</f>
        <v>N/A</v>
      </c>
      <c r="BB44" s="4" t="str">
        <f>IF(AND($C$4=$A44,BB$3&lt;&gt;""),BB$3,'EBA2017'!BB44)</f>
        <v>N/A</v>
      </c>
      <c r="BC44" s="30">
        <f t="shared" si="8"/>
        <v>62</v>
      </c>
      <c r="BD44" s="31">
        <f t="shared" si="9"/>
        <v>2.5862068965517242</v>
      </c>
      <c r="BE44" s="4">
        <f>IF(AND($C$4=$A44,BE$3&lt;&gt;""),BE$3,'EBA2017'!BE44)</f>
        <v>1.5</v>
      </c>
      <c r="BF44" s="4">
        <f>IF(AND($C$4=$A44,BF$3&lt;&gt;""),BF$3,'EBA2017'!BF44)</f>
        <v>0</v>
      </c>
      <c r="BG44" s="30">
        <f t="shared" si="10"/>
        <v>37</v>
      </c>
      <c r="BH44" s="31">
        <f t="shared" si="11"/>
        <v>50</v>
      </c>
      <c r="BI44" s="4">
        <f>IF(AND($C$4=$A44,BI$3&lt;&gt;""),BI$3,'EBA2017'!BI44)</f>
        <v>4.5</v>
      </c>
    </row>
    <row r="45" spans="1:61" x14ac:dyDescent="0.2">
      <c r="A45" s="2" t="s">
        <v>94</v>
      </c>
      <c r="B45" s="3" t="s">
        <v>95</v>
      </c>
      <c r="C45" s="3" t="s">
        <v>12</v>
      </c>
      <c r="D45" s="3" t="s">
        <v>13</v>
      </c>
      <c r="E45" s="3" t="s">
        <v>18</v>
      </c>
      <c r="F45" s="3" t="s">
        <v>160</v>
      </c>
      <c r="G45" s="3" t="s">
        <v>163</v>
      </c>
      <c r="H45" s="30">
        <f t="shared" si="1"/>
        <v>46</v>
      </c>
      <c r="I45" s="31">
        <f>VLOOKUP($A45,'Seed Base Calc'!$A:$S,19,FALSE)</f>
        <v>47.311566168623258</v>
      </c>
      <c r="J45" s="4">
        <f>IF(AND($C$4=$A45,J$3&lt;&gt;""),J$3,'EBA2017'!J45)</f>
        <v>4</v>
      </c>
      <c r="K45" s="4">
        <f>IF(AND($C$4=$A45,K$3&lt;&gt;""),K$3,'EBA2017'!K45)</f>
        <v>5.5</v>
      </c>
      <c r="L45" s="4">
        <f>IF(AND($C$4=$A45,L$3&lt;&gt;""),L$3,'EBA2017'!L45)</f>
        <v>1</v>
      </c>
      <c r="M45" s="12">
        <f>IF(AND($C$4=$A45,M$3&lt;&gt;""),M$3,'EBA2017'!M45)</f>
        <v>611</v>
      </c>
      <c r="N45" s="4">
        <f>IF(AND($C$4=$A45,N$3&lt;&gt;""),N$3,'EBA2017'!N45)</f>
        <v>0</v>
      </c>
      <c r="O45" s="30">
        <f t="shared" si="2"/>
        <v>41</v>
      </c>
      <c r="P45" s="31">
        <f>VLOOKUP($A45,'Fert Base Calc'!$A:$S,19,FALSE)</f>
        <v>45.464260728184172</v>
      </c>
      <c r="Q45" s="4">
        <f>IF(AND($C$4=$A45,Q$3&lt;&gt;""),Q$3,'EBA2017'!Q45)</f>
        <v>3.4</v>
      </c>
      <c r="R45" s="4">
        <f>IF(AND($C$4=$A45,R$3&lt;&gt;""),R$3,'EBA2017'!R45)</f>
        <v>5</v>
      </c>
      <c r="S45" s="4">
        <f>IF(AND($C$4=$A45,S$3&lt;&gt;""),S$3,'EBA2017'!S45)</f>
        <v>3.5</v>
      </c>
      <c r="T45" s="12">
        <f>IF(AND($C$4=$A45,T$3&lt;&gt;""),T$3,'EBA2017'!T45)</f>
        <v>1125</v>
      </c>
      <c r="U45" s="4">
        <f>IF(AND($C$4=$A45,U$3&lt;&gt;""),U$3,'EBA2017'!U45)</f>
        <v>645.20547945205476</v>
      </c>
      <c r="V45" s="30">
        <f t="shared" si="3"/>
        <v>36</v>
      </c>
      <c r="W45" s="31">
        <f>VLOOKUP($A45,'Mech Base Calc'!$A:$Z,24,FALSE)</f>
        <v>47.205511824834254</v>
      </c>
      <c r="X45" s="4">
        <f>IF(AND($C$4=$A45,X$3&lt;&gt;""),X$3,'EBA2017'!X45)</f>
        <v>3</v>
      </c>
      <c r="Y45" s="4">
        <f>IF(AND($C$4=$A45,Y$3&lt;&gt;""),Y$3,'EBA2017'!Y45)</f>
        <v>0.33333333333333326</v>
      </c>
      <c r="Z45" s="4">
        <f>IF(AND($C$4=$A45,Z$3&lt;&gt;""),Z$3,'EBA2017'!Z45)</f>
        <v>4</v>
      </c>
      <c r="AA45" s="12" t="str">
        <f>IF(AND($C$4=$A45,AA$3&lt;&gt;""),AA$3,'EBA2017'!AA45)</f>
        <v>N/A</v>
      </c>
      <c r="AB45" s="4" t="str">
        <f>IF(AND($C$4=$A45,AB$3&lt;&gt;""),AB$3,'EBA2017'!AB45)</f>
        <v>N/A</v>
      </c>
      <c r="AC45" s="12">
        <f>IF(AND($C$4=$A45,AC$3&lt;&gt;""),AC$3,'EBA2017'!AC45)</f>
        <v>2</v>
      </c>
      <c r="AD45" s="4">
        <f>IF(AND($C$4=$A45,AD$3&lt;&gt;""),AD$3,'EBA2017'!AD45)</f>
        <v>4.6193914877301419</v>
      </c>
      <c r="AE45" s="30">
        <f t="shared" si="4"/>
        <v>34</v>
      </c>
      <c r="AF45" s="31">
        <f>100*AVERAGE(IF(VLOOKUP(A45,'Data Gaps'!A:O,15,FALSE)="X",Calculator!AH45/4,AVERAGE(AG45/5,AH45/4)),AVERAGE(AI45/5,AJ45/8),IF(VLOOKUP(A45,'Data Gaps'!A:O,15,FALSE)="X",Calculator!AL45/7,AVERAGE(AK45/7,AL45/7)))</f>
        <v>46.309523809523803</v>
      </c>
      <c r="AG45" s="4">
        <f>IF(AND($C$4=$A45,AG$3&lt;&gt;""),AG$3,'EBA2017'!AG45)</f>
        <v>3.625</v>
      </c>
      <c r="AH45" s="4">
        <f>IF(AND($C$4=$A45,AH$3&lt;&gt;""),AH$3,'EBA2017'!AH45)</f>
        <v>1</v>
      </c>
      <c r="AI45" s="4">
        <f>IF(AND($C$4=$A45,AI$3&lt;&gt;""),AI$3,'EBA2017'!AI45)</f>
        <v>0</v>
      </c>
      <c r="AJ45" s="4">
        <f>IF(AND($C$4=$A45,AJ$3&lt;&gt;""),AJ$3,'EBA2017'!AJ45)</f>
        <v>3</v>
      </c>
      <c r="AK45" s="4">
        <f>IF(AND($C$4=$A45,AK$3&lt;&gt;""),AK$3,'EBA2017'!AK45)</f>
        <v>4</v>
      </c>
      <c r="AL45" s="4">
        <f>IF(AND($C$4=$A45,AL$3&lt;&gt;""),AL$3,'EBA2017'!AL45)</f>
        <v>6</v>
      </c>
      <c r="AM45" s="30">
        <f t="shared" si="5"/>
        <v>28</v>
      </c>
      <c r="AN45" s="31">
        <f>VLOOKUP($A45,'Mark Base Calc'!$A:$Z,21,FALSE)</f>
        <v>60.597224495121793</v>
      </c>
      <c r="AO45" s="4">
        <f>IF(AND($C$4=$A45,AO$3&lt;&gt;""),AO$3,'EBA2017'!AO45)</f>
        <v>6.85</v>
      </c>
      <c r="AP45" s="4">
        <f>IF(AND($C$4=$A45,AP$3&lt;&gt;""),AP$3,'EBA2017'!AP45)</f>
        <v>4</v>
      </c>
      <c r="AQ45" s="4">
        <f>IF(AND($C$4=$A45,AQ$3&lt;&gt;""),AQ$3,'EBA2017'!AQ45)</f>
        <v>6</v>
      </c>
      <c r="AR45" s="12">
        <f>IF(AND($C$4=$A45,AR$3&lt;&gt;""),AR$3,'EBA2017'!AR45)</f>
        <v>2</v>
      </c>
      <c r="AS45" s="12">
        <f>IF(AND($C$4=$A45,AS$3&lt;&gt;""),AS$3,'EBA2017'!AS45)</f>
        <v>2</v>
      </c>
      <c r="AT45" s="4">
        <f>IF(AND($C$4=$A45,AT$3&lt;&gt;""),AT$3,'EBA2017'!AT45)</f>
        <v>0.66651220037249193</v>
      </c>
      <c r="AU45" s="30">
        <f t="shared" si="6"/>
        <v>52</v>
      </c>
      <c r="AV45" s="31">
        <f t="shared" si="7"/>
        <v>29.76601457614116</v>
      </c>
      <c r="AW45" s="4">
        <f>IF(AND($C$4=$A45,AW$3&lt;&gt;""),AW$3,'EBA2017'!AW45)</f>
        <v>4.0000000000000009</v>
      </c>
      <c r="AX45" s="4">
        <f>IF(AND($C$4=$A45,AX$3&lt;&gt;""),AX$3,'EBA2017'!AX45)</f>
        <v>2</v>
      </c>
      <c r="AY45" s="4">
        <f>IF(AND($C$4=$A45,AY$3&lt;&gt;""),AY$3,'EBA2017'!AY45)</f>
        <v>38.208966734225029</v>
      </c>
      <c r="AZ45" s="4">
        <f>IF(AND($C$4=$A45,AZ$3&lt;&gt;""),AZ$3,'EBA2017'!AZ45)</f>
        <v>2.9999999999999996</v>
      </c>
      <c r="BA45" s="12" t="str">
        <f>IF(AND($C$4=$A45,BA$3&lt;&gt;""),BA$3,'EBA2017'!BA45)</f>
        <v>N/A</v>
      </c>
      <c r="BB45" s="4" t="str">
        <f>IF(AND($C$4=$A45,BB$3&lt;&gt;""),BB$3,'EBA2017'!BB45)</f>
        <v>N/A</v>
      </c>
      <c r="BC45" s="30">
        <f t="shared" si="8"/>
        <v>52</v>
      </c>
      <c r="BD45" s="31">
        <f t="shared" si="9"/>
        <v>22.974137931034484</v>
      </c>
      <c r="BE45" s="4">
        <f>IF(AND($C$4=$A45,BE$3&lt;&gt;""),BE$3,'EBA2017'!BE45)</f>
        <v>1</v>
      </c>
      <c r="BF45" s="4">
        <f>IF(AND($C$4=$A45,BF$3&lt;&gt;""),BF$3,'EBA2017'!BF45)</f>
        <v>8.5</v>
      </c>
      <c r="BG45" s="30">
        <f t="shared" si="10"/>
        <v>43</v>
      </c>
      <c r="BH45" s="31">
        <f t="shared" si="11"/>
        <v>44.444444444444443</v>
      </c>
      <c r="BI45" s="4">
        <f>IF(AND($C$4=$A45,BI$3&lt;&gt;""),BI$3,'EBA2017'!BI45)</f>
        <v>4</v>
      </c>
    </row>
    <row r="46" spans="1:61" x14ac:dyDescent="0.2">
      <c r="A46" s="2" t="s">
        <v>96</v>
      </c>
      <c r="B46" s="3" t="s">
        <v>97</v>
      </c>
      <c r="C46" s="3" t="s">
        <v>38</v>
      </c>
      <c r="D46" s="3" t="s">
        <v>39</v>
      </c>
      <c r="E46" s="3" t="s">
        <v>40</v>
      </c>
      <c r="F46" s="3" t="s">
        <v>161</v>
      </c>
      <c r="G46" s="3" t="s">
        <v>163</v>
      </c>
      <c r="H46" s="30">
        <f t="shared" si="1"/>
        <v>1</v>
      </c>
      <c r="I46" s="31">
        <f>VLOOKUP($A46,'Seed Base Calc'!$A:$S,19,FALSE)</f>
        <v>87.999811927903821</v>
      </c>
      <c r="J46" s="4">
        <f>IF(AND($C$4=$A46,J$3&lt;&gt;""),J$3,'EBA2017'!J46)</f>
        <v>9</v>
      </c>
      <c r="K46" s="4">
        <f>IF(AND($C$4=$A46,K$3&lt;&gt;""),K$3,'EBA2017'!K46)</f>
        <v>7</v>
      </c>
      <c r="L46" s="4">
        <f>IF(AND($C$4=$A46,L$3&lt;&gt;""),L$3,'EBA2017'!L46)</f>
        <v>12</v>
      </c>
      <c r="M46" s="12">
        <f>IF(AND($C$4=$A46,M$3&lt;&gt;""),M$3,'EBA2017'!M46)</f>
        <v>556</v>
      </c>
      <c r="N46" s="4">
        <f>IF(AND($C$4=$A46,N$3&lt;&gt;""),N$3,'EBA2017'!N46)</f>
        <v>13.712385666442032</v>
      </c>
      <c r="O46" s="30">
        <f t="shared" si="2"/>
        <v>28</v>
      </c>
      <c r="P46" s="31">
        <f>VLOOKUP($A46,'Fert Base Calc'!$A:$S,19,FALSE)</f>
        <v>62.5</v>
      </c>
      <c r="Q46" s="4">
        <f>IF(AND($C$4=$A46,Q$3&lt;&gt;""),Q$3,'EBA2017'!Q46)</f>
        <v>5</v>
      </c>
      <c r="R46" s="4">
        <f>IF(AND($C$4=$A46,R$3&lt;&gt;""),R$3,'EBA2017'!R46)</f>
        <v>6.5</v>
      </c>
      <c r="S46" s="4">
        <f>IF(AND($C$4=$A46,S$3&lt;&gt;""),S$3,'EBA2017'!S46)</f>
        <v>6</v>
      </c>
      <c r="T46" s="12" t="str">
        <f>IF(AND($C$4=$A46,T$3&lt;&gt;""),T$3,'EBA2017'!T46)</f>
        <v>N/A</v>
      </c>
      <c r="U46" s="4" t="str">
        <f>IF(AND($C$4=$A46,U$3&lt;&gt;""),U$3,'EBA2017'!U46)</f>
        <v>N/A</v>
      </c>
      <c r="V46" s="30">
        <f t="shared" si="3"/>
        <v>7</v>
      </c>
      <c r="W46" s="31">
        <f>VLOOKUP($A46,'Mech Base Calc'!$A:$Z,24,FALSE)</f>
        <v>81.832511402252564</v>
      </c>
      <c r="X46" s="4">
        <f>IF(AND($C$4=$A46,X$3&lt;&gt;""),X$3,'EBA2017'!X46)</f>
        <v>2</v>
      </c>
      <c r="Y46" s="4">
        <f>IF(AND($C$4=$A46,Y$3&lt;&gt;""),Y$3,'EBA2017'!Y46)</f>
        <v>7</v>
      </c>
      <c r="Z46" s="4">
        <f>IF(AND($C$4=$A46,Z$3&lt;&gt;""),Z$3,'EBA2017'!Z46)</f>
        <v>5</v>
      </c>
      <c r="AA46" s="12" t="str">
        <f>IF(AND($C$4=$A46,AA$3&lt;&gt;""),AA$3,'EBA2017'!AA46)</f>
        <v>No data</v>
      </c>
      <c r="AB46" s="4" t="str">
        <f>IF(AND($C$4=$A46,AB$3&lt;&gt;""),AB$3,'EBA2017'!AB46)</f>
        <v>No data</v>
      </c>
      <c r="AC46" s="12">
        <f>IF(AND($C$4=$A46,AC$3&lt;&gt;""),AC$3,'EBA2017'!AC46)</f>
        <v>1</v>
      </c>
      <c r="AD46" s="4">
        <f>IF(AND($C$4=$A46,AD$3&lt;&gt;""),AD$3,'EBA2017'!AD46)</f>
        <v>0.14991675291299597</v>
      </c>
      <c r="AE46" s="30">
        <f t="shared" si="4"/>
        <v>17</v>
      </c>
      <c r="AF46" s="31">
        <f>100*AVERAGE(IF(VLOOKUP(A46,'Data Gaps'!A:O,15,FALSE)="X",Calculator!AH46/4,AVERAGE(AG46/5,AH46/4)),AVERAGE(AI46/5,AJ46/8),IF(VLOOKUP(A46,'Data Gaps'!A:O,15,FALSE)="X",Calculator!AL46/7,AVERAGE(AK46/7,AL46/7)))</f>
        <v>61.30952380952381</v>
      </c>
      <c r="AG46" s="4" t="str">
        <f>IF(AND($C$4=$A46,AG$3&lt;&gt;""),AG$3,'EBA2017'!AG46)</f>
        <v>N/A</v>
      </c>
      <c r="AH46" s="4">
        <f>IF(AND($C$4=$A46,AH$3&lt;&gt;""),AH$3,'EBA2017'!AH46)</f>
        <v>2.75</v>
      </c>
      <c r="AI46" s="4">
        <f>IF(AND($C$4=$A46,AI$3&lt;&gt;""),AI$3,'EBA2017'!AI46)</f>
        <v>2.5</v>
      </c>
      <c r="AJ46" s="4">
        <f>IF(AND($C$4=$A46,AJ$3&lt;&gt;""),AJ$3,'EBA2017'!AJ46)</f>
        <v>3</v>
      </c>
      <c r="AK46" s="4" t="str">
        <f>IF(AND($C$4=$A46,AK$3&lt;&gt;""),AK$3,'EBA2017'!AK46)</f>
        <v>N/A</v>
      </c>
      <c r="AL46" s="4">
        <f>IF(AND($C$4=$A46,AL$3&lt;&gt;""),AL$3,'EBA2017'!AL46)</f>
        <v>5</v>
      </c>
      <c r="AM46" s="30">
        <f t="shared" si="5"/>
        <v>1</v>
      </c>
      <c r="AN46" s="31">
        <f>VLOOKUP($A46,'Mark Base Calc'!$A:$Z,21,FALSE)</f>
        <v>87.606837606837601</v>
      </c>
      <c r="AO46" s="4">
        <f>IF(AND($C$4=$A46,AO$3&lt;&gt;""),AO$3,'EBA2017'!AO46)</f>
        <v>8</v>
      </c>
      <c r="AP46" s="4">
        <f>IF(AND($C$4=$A46,AP$3&lt;&gt;""),AP$3,'EBA2017'!AP46)</f>
        <v>8</v>
      </c>
      <c r="AQ46" s="4">
        <f>IF(AND($C$4=$A46,AQ$3&lt;&gt;""),AQ$3,'EBA2017'!AQ46)</f>
        <v>8</v>
      </c>
      <c r="AR46" s="12">
        <f>IF(AND($C$4=$A46,AR$3&lt;&gt;""),AR$3,'EBA2017'!AR46)</f>
        <v>0</v>
      </c>
      <c r="AS46" s="12">
        <f>IF(AND($C$4=$A46,AS$3&lt;&gt;""),AS$3,'EBA2017'!AS46)</f>
        <v>0</v>
      </c>
      <c r="AT46" s="4">
        <f>IF(AND($C$4=$A46,AT$3&lt;&gt;""),AT$3,'EBA2017'!AT46)</f>
        <v>0</v>
      </c>
      <c r="AU46" s="30">
        <f t="shared" si="6"/>
        <v>9</v>
      </c>
      <c r="AV46" s="31">
        <f t="shared" si="7"/>
        <v>76.472197694448838</v>
      </c>
      <c r="AW46" s="4">
        <f>IF(AND($C$4=$A46,AW$3&lt;&gt;""),AW$3,'EBA2017'!AW46)</f>
        <v>9.8333333333333321</v>
      </c>
      <c r="AX46" s="4">
        <f>IF(AND($C$4=$A46,AX$3&lt;&gt;""),AX$3,'EBA2017'!AX46)</f>
        <v>56</v>
      </c>
      <c r="AY46" s="4">
        <f>IF(AND($C$4=$A46,AY$3&lt;&gt;""),AY$3,'EBA2017'!AY46)</f>
        <v>0.86784434579412262</v>
      </c>
      <c r="AZ46" s="4">
        <f>IF(AND($C$4=$A46,AZ$3&lt;&gt;""),AZ$3,'EBA2017'!AZ46)</f>
        <v>9</v>
      </c>
      <c r="BA46" s="12">
        <f>IF(AND($C$4=$A46,BA$3&lt;&gt;""),BA$3,'EBA2017'!BA46)</f>
        <v>56</v>
      </c>
      <c r="BB46" s="4">
        <f>IF(AND($C$4=$A46,BB$3&lt;&gt;""),BB$3,'EBA2017'!BB46)</f>
        <v>0.86784434579412262</v>
      </c>
      <c r="BC46" s="30">
        <f t="shared" si="8"/>
        <v>20</v>
      </c>
      <c r="BD46" s="31">
        <f t="shared" si="9"/>
        <v>64.267241379310349</v>
      </c>
      <c r="BE46" s="4">
        <f>IF(AND($C$4=$A46,BE$3&lt;&gt;""),BE$3,'EBA2017'!BE46)</f>
        <v>23.5</v>
      </c>
      <c r="BF46" s="4">
        <f>IF(AND($C$4=$A46,BF$3&lt;&gt;""),BF$3,'EBA2017'!BF46)</f>
        <v>9.5</v>
      </c>
      <c r="BG46" s="30">
        <f t="shared" si="10"/>
        <v>1</v>
      </c>
      <c r="BH46" s="31">
        <f t="shared" si="11"/>
        <v>100</v>
      </c>
      <c r="BI46" s="4">
        <f>IF(AND($C$4=$A46,BI$3&lt;&gt;""),BI$3,'EBA2017'!BI46)</f>
        <v>9</v>
      </c>
    </row>
    <row r="47" spans="1:61" x14ac:dyDescent="0.2">
      <c r="A47" s="2" t="s">
        <v>98</v>
      </c>
      <c r="B47" s="3" t="s">
        <v>99</v>
      </c>
      <c r="C47" s="3" t="s">
        <v>21</v>
      </c>
      <c r="D47" s="3" t="s">
        <v>22</v>
      </c>
      <c r="E47" s="3" t="s">
        <v>9</v>
      </c>
      <c r="F47" s="3" t="s">
        <v>160</v>
      </c>
      <c r="G47" s="3" t="s">
        <v>158</v>
      </c>
      <c r="H47" s="30">
        <f t="shared" si="1"/>
        <v>44</v>
      </c>
      <c r="I47" s="31">
        <f>VLOOKUP($A47,'Seed Base Calc'!$A:$S,19,FALSE)</f>
        <v>47.915616236796289</v>
      </c>
      <c r="J47" s="4">
        <f>IF(AND($C$4=$A47,J$3&lt;&gt;""),J$3,'EBA2017'!J47)</f>
        <v>7</v>
      </c>
      <c r="K47" s="4">
        <f>IF(AND($C$4=$A47,K$3&lt;&gt;""),K$3,'EBA2017'!K47)</f>
        <v>6.5</v>
      </c>
      <c r="L47" s="4">
        <f>IF(AND($C$4=$A47,L$3&lt;&gt;""),L$3,'EBA2017'!L47)</f>
        <v>3</v>
      </c>
      <c r="M47" s="12">
        <f>IF(AND($C$4=$A47,M$3&lt;&gt;""),M$3,'EBA2017'!M47)</f>
        <v>650</v>
      </c>
      <c r="N47" s="4">
        <f>IF(AND($C$4=$A47,N$3&lt;&gt;""),N$3,'EBA2017'!N47)</f>
        <v>786.85567010309273</v>
      </c>
      <c r="O47" s="30">
        <f t="shared" si="2"/>
        <v>10</v>
      </c>
      <c r="P47" s="31">
        <f>VLOOKUP($A47,'Fert Base Calc'!$A:$S,19,FALSE)</f>
        <v>78.198594264311083</v>
      </c>
      <c r="Q47" s="4">
        <f>IF(AND($C$4=$A47,Q$3&lt;&gt;""),Q$3,'EBA2017'!Q47)</f>
        <v>4.8</v>
      </c>
      <c r="R47" s="4">
        <f>IF(AND($C$4=$A47,R$3&lt;&gt;""),R$3,'EBA2017'!R47)</f>
        <v>7</v>
      </c>
      <c r="S47" s="4">
        <f>IF(AND($C$4=$A47,S$3&lt;&gt;""),S$3,'EBA2017'!S47)</f>
        <v>3.5</v>
      </c>
      <c r="T47" s="12">
        <f>IF(AND($C$4=$A47,T$3&lt;&gt;""),T$3,'EBA2017'!T47)</f>
        <v>28</v>
      </c>
      <c r="U47" s="4">
        <f>IF(AND($C$4=$A47,U$3&lt;&gt;""),U$3,'EBA2017'!U47)</f>
        <v>82.474226804123703</v>
      </c>
      <c r="V47" s="30">
        <f t="shared" si="3"/>
        <v>48</v>
      </c>
      <c r="W47" s="31">
        <f>VLOOKUP($A47,'Mech Base Calc'!$A:$Z,24,FALSE)</f>
        <v>33.027171102839688</v>
      </c>
      <c r="X47" s="4">
        <f>IF(AND($C$4=$A47,X$3&lt;&gt;""),X$3,'EBA2017'!X47)</f>
        <v>1</v>
      </c>
      <c r="Y47" s="4">
        <f>IF(AND($C$4=$A47,Y$3&lt;&gt;""),Y$3,'EBA2017'!Y47)</f>
        <v>0</v>
      </c>
      <c r="Z47" s="4">
        <f>IF(AND($C$4=$A47,Z$3&lt;&gt;""),Z$3,'EBA2017'!Z47)</f>
        <v>3.5</v>
      </c>
      <c r="AA47" s="12" t="str">
        <f>IF(AND($C$4=$A47,AA$3&lt;&gt;""),AA$3,'EBA2017'!AA47)</f>
        <v>N/A</v>
      </c>
      <c r="AB47" s="4" t="str">
        <f>IF(AND($C$4=$A47,AB$3&lt;&gt;""),AB$3,'EBA2017'!AB47)</f>
        <v>N/A</v>
      </c>
      <c r="AC47" s="12">
        <f>IF(AND($C$4=$A47,AC$3&lt;&gt;""),AC$3,'EBA2017'!AC47)</f>
        <v>10</v>
      </c>
      <c r="AD47" s="4">
        <f>IF(AND($C$4=$A47,AD$3&lt;&gt;""),AD$3,'EBA2017'!AD47)</f>
        <v>5.6102788110494979</v>
      </c>
      <c r="AE47" s="30">
        <f t="shared" si="4"/>
        <v>36</v>
      </c>
      <c r="AF47" s="31">
        <f>100*AVERAGE(IF(VLOOKUP(A47,'Data Gaps'!A:O,15,FALSE)="X",Calculator!AH47/4,AVERAGE(AG47/5,AH47/4)),AVERAGE(AI47/5,AJ47/8),IF(VLOOKUP(A47,'Data Gaps'!A:O,15,FALSE)="X",Calculator!AL47/7,AVERAGE(AK47/7,AL47/7)))</f>
        <v>45.94047619047619</v>
      </c>
      <c r="AG47" s="4">
        <f>IF(AND($C$4=$A47,AG$3&lt;&gt;""),AG$3,'EBA2017'!AG47)</f>
        <v>3.55</v>
      </c>
      <c r="AH47" s="4">
        <f>IF(AND($C$4=$A47,AH$3&lt;&gt;""),AH$3,'EBA2017'!AH47)</f>
        <v>1</v>
      </c>
      <c r="AI47" s="4">
        <f>IF(AND($C$4=$A47,AI$3&lt;&gt;""),AI$3,'EBA2017'!AI47)</f>
        <v>4.25</v>
      </c>
      <c r="AJ47" s="4">
        <f>IF(AND($C$4=$A47,AJ$3&lt;&gt;""),AJ$3,'EBA2017'!AJ47)</f>
        <v>3</v>
      </c>
      <c r="AK47" s="4">
        <f>IF(AND($C$4=$A47,AK$3&lt;&gt;""),AK$3,'EBA2017'!AK47)</f>
        <v>0</v>
      </c>
      <c r="AL47" s="4">
        <f>IF(AND($C$4=$A47,AL$3&lt;&gt;""),AL$3,'EBA2017'!AL47)</f>
        <v>4</v>
      </c>
      <c r="AM47" s="30">
        <f t="shared" si="5"/>
        <v>20</v>
      </c>
      <c r="AN47" s="31">
        <f>VLOOKUP($A47,'Mark Base Calc'!$A:$Z,21,FALSE)</f>
        <v>66.288581334030454</v>
      </c>
      <c r="AO47" s="4">
        <f>IF(AND($C$4=$A47,AO$3&lt;&gt;""),AO$3,'EBA2017'!AO47)</f>
        <v>9.35</v>
      </c>
      <c r="AP47" s="4">
        <f>IF(AND($C$4=$A47,AP$3&lt;&gt;""),AP$3,'EBA2017'!AP47)</f>
        <v>6</v>
      </c>
      <c r="AQ47" s="4">
        <f>IF(AND($C$4=$A47,AQ$3&lt;&gt;""),AQ$3,'EBA2017'!AQ47)</f>
        <v>4.5</v>
      </c>
      <c r="AR47" s="12">
        <f>IF(AND($C$4=$A47,AR$3&lt;&gt;""),AR$3,'EBA2017'!AR47)</f>
        <v>2</v>
      </c>
      <c r="AS47" s="12">
        <f>IF(AND($C$4=$A47,AS$3&lt;&gt;""),AS$3,'EBA2017'!AS47)</f>
        <v>2</v>
      </c>
      <c r="AT47" s="4">
        <f>IF(AND($C$4=$A47,AT$3&lt;&gt;""),AT$3,'EBA2017'!AT47)</f>
        <v>1.4203475967273052</v>
      </c>
      <c r="AU47" s="30">
        <f t="shared" si="6"/>
        <v>36</v>
      </c>
      <c r="AV47" s="31">
        <f t="shared" si="7"/>
        <v>51.56355074050245</v>
      </c>
      <c r="AW47" s="4">
        <f>IF(AND($C$4=$A47,AW$3&lt;&gt;""),AW$3,'EBA2017'!AW47)</f>
        <v>8.0000000000000018</v>
      </c>
      <c r="AX47" s="4">
        <f>IF(AND($C$4=$A47,AX$3&lt;&gt;""),AX$3,'EBA2017'!AX47)</f>
        <v>7</v>
      </c>
      <c r="AY47" s="4">
        <f>IF(AND($C$4=$A47,AY$3&lt;&gt;""),AY$3,'EBA2017'!AY47)</f>
        <v>4.5244183960076585</v>
      </c>
      <c r="AZ47" s="4">
        <f>IF(AND($C$4=$A47,AZ$3&lt;&gt;""),AZ$3,'EBA2017'!AZ47)</f>
        <v>4</v>
      </c>
      <c r="BA47" s="12" t="str">
        <f>IF(AND($C$4=$A47,BA$3&lt;&gt;""),BA$3,'EBA2017'!BA47)</f>
        <v>N/A</v>
      </c>
      <c r="BB47" s="4" t="str">
        <f>IF(AND($C$4=$A47,BB$3&lt;&gt;""),BB$3,'EBA2017'!BB47)</f>
        <v>N/A</v>
      </c>
      <c r="BC47" s="30">
        <f t="shared" si="8"/>
        <v>23</v>
      </c>
      <c r="BD47" s="31">
        <f t="shared" si="9"/>
        <v>61.982758620689658</v>
      </c>
      <c r="BE47" s="4">
        <f>IF(AND($C$4=$A47,BE$3&lt;&gt;""),BE$3,'EBA2017'!BE47)</f>
        <v>20</v>
      </c>
      <c r="BF47" s="4">
        <f>IF(AND($C$4=$A47,BF$3&lt;&gt;""),BF$3,'EBA2017'!BF47)</f>
        <v>11</v>
      </c>
      <c r="BG47" s="30">
        <f t="shared" si="10"/>
        <v>43</v>
      </c>
      <c r="BH47" s="31">
        <f t="shared" si="11"/>
        <v>44.444444444444443</v>
      </c>
      <c r="BI47" s="4">
        <f>IF(AND($C$4=$A47,BI$3&lt;&gt;""),BI$3,'EBA2017'!BI47)</f>
        <v>4</v>
      </c>
    </row>
    <row r="48" spans="1:61" x14ac:dyDescent="0.2">
      <c r="A48" s="2" t="s">
        <v>100</v>
      </c>
      <c r="B48" s="3" t="s">
        <v>101</v>
      </c>
      <c r="C48" s="3" t="s">
        <v>16</v>
      </c>
      <c r="D48" s="3" t="s">
        <v>17</v>
      </c>
      <c r="E48" s="3" t="s">
        <v>18</v>
      </c>
      <c r="F48" s="3" t="s">
        <v>161</v>
      </c>
      <c r="G48" s="3" t="s">
        <v>158</v>
      </c>
      <c r="H48" s="30">
        <f t="shared" si="1"/>
        <v>49</v>
      </c>
      <c r="I48" s="31">
        <f>VLOOKUP($A48,'Seed Base Calc'!$A:$S,19,FALSE)</f>
        <v>45.416666666666664</v>
      </c>
      <c r="J48" s="4">
        <f>IF(AND($C$4=$A48,J$3&lt;&gt;""),J$3,'EBA2017'!J48)</f>
        <v>4</v>
      </c>
      <c r="K48" s="4">
        <f>IF(AND($C$4=$A48,K$3&lt;&gt;""),K$3,'EBA2017'!K48)</f>
        <v>8</v>
      </c>
      <c r="L48" s="4">
        <f>IF(AND($C$4=$A48,L$3&lt;&gt;""),L$3,'EBA2017'!L48)</f>
        <v>5</v>
      </c>
      <c r="M48" s="12" t="str">
        <f>IF(AND($C$4=$A48,M$3&lt;&gt;""),M$3,'EBA2017'!M48)</f>
        <v>No practice</v>
      </c>
      <c r="N48" s="4" t="str">
        <f>IF(AND($C$4=$A48,N$3&lt;&gt;""),N$3,'EBA2017'!N48)</f>
        <v>No practice</v>
      </c>
      <c r="O48" s="30">
        <f t="shared" si="2"/>
        <v>55</v>
      </c>
      <c r="P48" s="31">
        <f>VLOOKUP($A48,'Fert Base Calc'!$A:$S,19,FALSE)</f>
        <v>25</v>
      </c>
      <c r="Q48" s="4">
        <f>IF(AND($C$4=$A48,Q$3&lt;&gt;""),Q$3,'EBA2017'!Q48)</f>
        <v>0</v>
      </c>
      <c r="R48" s="4">
        <f>IF(AND($C$4=$A48,R$3&lt;&gt;""),R$3,'EBA2017'!R48)</f>
        <v>3</v>
      </c>
      <c r="S48" s="4">
        <f>IF(AND($C$4=$A48,S$3&lt;&gt;""),S$3,'EBA2017'!S48)</f>
        <v>3.5</v>
      </c>
      <c r="T48" s="12" t="str">
        <f>IF(AND($C$4=$A48,T$3&lt;&gt;""),T$3,'EBA2017'!T48)</f>
        <v>N/A</v>
      </c>
      <c r="U48" s="4" t="str">
        <f>IF(AND($C$4=$A48,U$3&lt;&gt;""),U$3,'EBA2017'!U48)</f>
        <v>N/A</v>
      </c>
      <c r="V48" s="30">
        <f t="shared" si="3"/>
        <v>55</v>
      </c>
      <c r="W48" s="31">
        <f>VLOOKUP($A48,'Mech Base Calc'!$A:$Z,24,FALSE)</f>
        <v>20.833333333333336</v>
      </c>
      <c r="X48" s="4">
        <f>IF(AND($C$4=$A48,X$3&lt;&gt;""),X$3,'EBA2017'!X48)</f>
        <v>0</v>
      </c>
      <c r="Y48" s="4">
        <f>IF(AND($C$4=$A48,Y$3&lt;&gt;""),Y$3,'EBA2017'!Y48)</f>
        <v>0.33333333333333326</v>
      </c>
      <c r="Z48" s="4">
        <f>IF(AND($C$4=$A48,Z$3&lt;&gt;""),Z$3,'EBA2017'!Z48)</f>
        <v>5</v>
      </c>
      <c r="AA48" s="12" t="str">
        <f>IF(AND($C$4=$A48,AA$3&lt;&gt;""),AA$3,'EBA2017'!AA48)</f>
        <v>N/A</v>
      </c>
      <c r="AB48" s="4" t="str">
        <f>IF(AND($C$4=$A48,AB$3&lt;&gt;""),AB$3,'EBA2017'!AB48)</f>
        <v>N/A</v>
      </c>
      <c r="AC48" s="12" t="str">
        <f>IF(AND($C$4=$A48,AC$3&lt;&gt;""),AC$3,'EBA2017'!AC48)</f>
        <v>N/A</v>
      </c>
      <c r="AD48" s="4" t="str">
        <f>IF(AND($C$4=$A48,AD$3&lt;&gt;""),AD$3,'EBA2017'!AD48)</f>
        <v>N/A</v>
      </c>
      <c r="AE48" s="30">
        <f t="shared" si="4"/>
        <v>45</v>
      </c>
      <c r="AF48" s="31">
        <f>100*AVERAGE(IF(VLOOKUP(A48,'Data Gaps'!A:O,15,FALSE)="X",Calculator!AH48/4,AVERAGE(AG48/5,AH48/4)),AVERAGE(AI48/5,AJ48/8),IF(VLOOKUP(A48,'Data Gaps'!A:O,15,FALSE)="X",Calculator!AL48/7,AVERAGE(AK48/7,AL48/7)))</f>
        <v>43.00595238095238</v>
      </c>
      <c r="AG48" s="4">
        <f>IF(AND($C$4=$A48,AG$3&lt;&gt;""),AG$3,'EBA2017'!AG48)</f>
        <v>0</v>
      </c>
      <c r="AH48" s="4">
        <f>IF(AND($C$4=$A48,AH$3&lt;&gt;""),AH$3,'EBA2017'!AH48)</f>
        <v>3.75</v>
      </c>
      <c r="AI48" s="4">
        <f>IF(AND($C$4=$A48,AI$3&lt;&gt;""),AI$3,'EBA2017'!AI48)</f>
        <v>0</v>
      </c>
      <c r="AJ48" s="4">
        <f>IF(AND($C$4=$A48,AJ$3&lt;&gt;""),AJ$3,'EBA2017'!AJ48)</f>
        <v>4</v>
      </c>
      <c r="AK48" s="4">
        <f>IF(AND($C$4=$A48,AK$3&lt;&gt;""),AK$3,'EBA2017'!AK48)</f>
        <v>4</v>
      </c>
      <c r="AL48" s="4">
        <f>IF(AND($C$4=$A48,AL$3&lt;&gt;""),AL$3,'EBA2017'!AL48)</f>
        <v>4</v>
      </c>
      <c r="AM48" s="30">
        <f t="shared" si="5"/>
        <v>39</v>
      </c>
      <c r="AN48" s="31">
        <f>VLOOKUP($A48,'Mark Base Calc'!$A:$Z,21,FALSE)</f>
        <v>53.109428745051176</v>
      </c>
      <c r="AO48" s="4">
        <f>IF(AND($C$4=$A48,AO$3&lt;&gt;""),AO$3,'EBA2017'!AO48)</f>
        <v>8</v>
      </c>
      <c r="AP48" s="4">
        <f>IF(AND($C$4=$A48,AP$3&lt;&gt;""),AP$3,'EBA2017'!AP48)</f>
        <v>2</v>
      </c>
      <c r="AQ48" s="4">
        <f>IF(AND($C$4=$A48,AQ$3&lt;&gt;""),AQ$3,'EBA2017'!AQ48)</f>
        <v>5</v>
      </c>
      <c r="AR48" s="12">
        <f>IF(AND($C$4=$A48,AR$3&lt;&gt;""),AR$3,'EBA2017'!AR48)</f>
        <v>1</v>
      </c>
      <c r="AS48" s="12">
        <f>IF(AND($C$4=$A48,AS$3&lt;&gt;""),AS$3,'EBA2017'!AS48)</f>
        <v>2</v>
      </c>
      <c r="AT48" s="4">
        <f>IF(AND($C$4=$A48,AT$3&lt;&gt;""),AT$3,'EBA2017'!AT48)</f>
        <v>2.3976011608253094</v>
      </c>
      <c r="AU48" s="30">
        <f t="shared" si="6"/>
        <v>17</v>
      </c>
      <c r="AV48" s="31">
        <f t="shared" si="7"/>
        <v>68.198093423545444</v>
      </c>
      <c r="AW48" s="4">
        <f>IF(AND($C$4=$A48,AW$3&lt;&gt;""),AW$3,'EBA2017'!AW48)</f>
        <v>4.5000000000000009</v>
      </c>
      <c r="AX48" s="4">
        <f>IF(AND($C$4=$A48,AX$3&lt;&gt;""),AX$3,'EBA2017'!AX48)</f>
        <v>2</v>
      </c>
      <c r="AY48" s="4">
        <f>IF(AND($C$4=$A48,AY$3&lt;&gt;""),AY$3,'EBA2017'!AY48)</f>
        <v>9.5904046433012375</v>
      </c>
      <c r="AZ48" s="4">
        <f>IF(AND($C$4=$A48,AZ$3&lt;&gt;""),AZ$3,'EBA2017'!AZ48)</f>
        <v>5</v>
      </c>
      <c r="BA48" s="12">
        <f>IF(AND($C$4=$A48,BA$3&lt;&gt;""),BA$3,'EBA2017'!BA48)</f>
        <v>1</v>
      </c>
      <c r="BB48" s="4">
        <f>IF(AND($C$4=$A48,BB$3&lt;&gt;""),BB$3,'EBA2017'!BB48)</f>
        <v>9.5904046433012375</v>
      </c>
      <c r="BC48" s="30">
        <f t="shared" si="8"/>
        <v>39</v>
      </c>
      <c r="BD48" s="31">
        <f t="shared" si="9"/>
        <v>41.853448275862064</v>
      </c>
      <c r="BE48" s="4">
        <f>IF(AND($C$4=$A48,BE$3&lt;&gt;""),BE$3,'EBA2017'!BE48)</f>
        <v>10.499999999999998</v>
      </c>
      <c r="BF48" s="4">
        <f>IF(AND($C$4=$A48,BF$3&lt;&gt;""),BF$3,'EBA2017'!BF48)</f>
        <v>9.5</v>
      </c>
      <c r="BG48" s="30">
        <f t="shared" si="10"/>
        <v>43</v>
      </c>
      <c r="BH48" s="31">
        <f t="shared" si="11"/>
        <v>44.444444444444443</v>
      </c>
      <c r="BI48" s="4">
        <f>IF(AND($C$4=$A48,BI$3&lt;&gt;""),BI$3,'EBA2017'!BI48)</f>
        <v>4</v>
      </c>
    </row>
    <row r="49" spans="1:61" x14ac:dyDescent="0.2">
      <c r="A49" s="2" t="s">
        <v>102</v>
      </c>
      <c r="B49" s="3" t="s">
        <v>103</v>
      </c>
      <c r="C49" s="3" t="s">
        <v>16</v>
      </c>
      <c r="D49" s="3" t="s">
        <v>17</v>
      </c>
      <c r="E49" s="3" t="s">
        <v>9</v>
      </c>
      <c r="F49" s="3" t="s">
        <v>160</v>
      </c>
      <c r="G49" s="3" t="s">
        <v>158</v>
      </c>
      <c r="H49" s="30">
        <f t="shared" si="1"/>
        <v>42</v>
      </c>
      <c r="I49" s="31">
        <f>VLOOKUP($A49,'Seed Base Calc'!$A:$S,19,FALSE)</f>
        <v>48.816293763643287</v>
      </c>
      <c r="J49" s="4">
        <f>IF(AND($C$4=$A49,J$3&lt;&gt;""),J$3,'EBA2017'!J49)</f>
        <v>3</v>
      </c>
      <c r="K49" s="4">
        <f>IF(AND($C$4=$A49,K$3&lt;&gt;""),K$3,'EBA2017'!K49)</f>
        <v>5.5</v>
      </c>
      <c r="L49" s="4">
        <f>IF(AND($C$4=$A49,L$3&lt;&gt;""),L$3,'EBA2017'!L49)</f>
        <v>3</v>
      </c>
      <c r="M49" s="12">
        <f>IF(AND($C$4=$A49,M$3&lt;&gt;""),M$3,'EBA2017'!M49)</f>
        <v>367</v>
      </c>
      <c r="N49" s="4">
        <f>IF(AND($C$4=$A49,N$3&lt;&gt;""),N$3,'EBA2017'!N49)</f>
        <v>197.92738514189782</v>
      </c>
      <c r="O49" s="30">
        <f t="shared" si="2"/>
        <v>31</v>
      </c>
      <c r="P49" s="31">
        <f>VLOOKUP($A49,'Fert Base Calc'!$A:$S,19,FALSE)</f>
        <v>57.788374339111613</v>
      </c>
      <c r="Q49" s="4">
        <f>IF(AND($C$4=$A49,Q$3&lt;&gt;""),Q$3,'EBA2017'!Q49)</f>
        <v>4</v>
      </c>
      <c r="R49" s="4">
        <f>IF(AND($C$4=$A49,R$3&lt;&gt;""),R$3,'EBA2017'!R49)</f>
        <v>3</v>
      </c>
      <c r="S49" s="4">
        <f>IF(AND($C$4=$A49,S$3&lt;&gt;""),S$3,'EBA2017'!S49)</f>
        <v>3</v>
      </c>
      <c r="T49" s="12">
        <f>IF(AND($C$4=$A49,T$3&lt;&gt;""),T$3,'EBA2017'!T49)</f>
        <v>225</v>
      </c>
      <c r="U49" s="4">
        <f>IF(AND($C$4=$A49,U$3&lt;&gt;""),U$3,'EBA2017'!U49)</f>
        <v>6.0367852468278835</v>
      </c>
      <c r="V49" s="30">
        <f t="shared" si="3"/>
        <v>16</v>
      </c>
      <c r="W49" s="31">
        <f>VLOOKUP($A49,'Mech Base Calc'!$A:$Z,24,FALSE)</f>
        <v>63.066193613065003</v>
      </c>
      <c r="X49" s="4">
        <f>IF(AND($C$4=$A49,X$3&lt;&gt;""),X$3,'EBA2017'!X49)</f>
        <v>0.5</v>
      </c>
      <c r="Y49" s="4">
        <f>IF(AND($C$4=$A49,Y$3&lt;&gt;""),Y$3,'EBA2017'!Y49)</f>
        <v>5.6666666666666679</v>
      </c>
      <c r="Z49" s="4">
        <f>IF(AND($C$4=$A49,Z$3&lt;&gt;""),Z$3,'EBA2017'!Z49)</f>
        <v>5</v>
      </c>
      <c r="AA49" s="12">
        <f>IF(AND($C$4=$A49,AA$3&lt;&gt;""),AA$3,'EBA2017'!AA49)</f>
        <v>105</v>
      </c>
      <c r="AB49" s="4">
        <f>IF(AND($C$4=$A49,AB$3&lt;&gt;""),AB$3,'EBA2017'!AB49)</f>
        <v>98.963692570948908</v>
      </c>
      <c r="AC49" s="12">
        <f>IF(AND($C$4=$A49,AC$3&lt;&gt;""),AC$3,'EBA2017'!AC49)</f>
        <v>14</v>
      </c>
      <c r="AD49" s="4">
        <f>IF(AND($C$4=$A49,AD$3&lt;&gt;""),AD$3,'EBA2017'!AD49)</f>
        <v>9.8963692570948911</v>
      </c>
      <c r="AE49" s="30">
        <f t="shared" si="4"/>
        <v>22</v>
      </c>
      <c r="AF49" s="31">
        <f>100*AVERAGE(IF(VLOOKUP(A49,'Data Gaps'!A:O,15,FALSE)="X",Calculator!AH49/4,AVERAGE(AG49/5,AH49/4)),AVERAGE(AI49/5,AJ49/8),IF(VLOOKUP(A49,'Data Gaps'!A:O,15,FALSE)="X",Calculator!AL49/7,AVERAGE(AK49/7,AL49/7)))</f>
        <v>57.208333333333336</v>
      </c>
      <c r="AG49" s="4">
        <f>IF(AND($C$4=$A49,AG$3&lt;&gt;""),AG$3,'EBA2017'!AG49)</f>
        <v>3.7250000000000001</v>
      </c>
      <c r="AH49" s="4">
        <f>IF(AND($C$4=$A49,AH$3&lt;&gt;""),AH$3,'EBA2017'!AH49)</f>
        <v>3.75</v>
      </c>
      <c r="AI49" s="4">
        <f>IF(AND($C$4=$A49,AI$3&lt;&gt;""),AI$3,'EBA2017'!AI49)</f>
        <v>0</v>
      </c>
      <c r="AJ49" s="4">
        <f>IF(AND($C$4=$A49,AJ$3&lt;&gt;""),AJ$3,'EBA2017'!AJ49)</f>
        <v>6</v>
      </c>
      <c r="AK49" s="4">
        <f>IF(AND($C$4=$A49,AK$3&lt;&gt;""),AK$3,'EBA2017'!AK49)</f>
        <v>4</v>
      </c>
      <c r="AL49" s="4">
        <f>IF(AND($C$4=$A49,AL$3&lt;&gt;""),AL$3,'EBA2017'!AL49)</f>
        <v>3</v>
      </c>
      <c r="AM49" s="30">
        <f t="shared" si="5"/>
        <v>48</v>
      </c>
      <c r="AN49" s="31">
        <f>VLOOKUP($A49,'Mark Base Calc'!$A:$Z,21,FALSE)</f>
        <v>49.236742150358239</v>
      </c>
      <c r="AO49" s="4">
        <f>IF(AND($C$4=$A49,AO$3&lt;&gt;""),AO$3,'EBA2017'!AO49)</f>
        <v>7</v>
      </c>
      <c r="AP49" s="4">
        <f>IF(AND($C$4=$A49,AP$3&lt;&gt;""),AP$3,'EBA2017'!AP49)</f>
        <v>2</v>
      </c>
      <c r="AQ49" s="4">
        <f>IF(AND($C$4=$A49,AQ$3&lt;&gt;""),AQ$3,'EBA2017'!AQ49)</f>
        <v>4</v>
      </c>
      <c r="AR49" s="12">
        <f>IF(AND($C$4=$A49,AR$3&lt;&gt;""),AR$3,'EBA2017'!AR49)</f>
        <v>2</v>
      </c>
      <c r="AS49" s="12">
        <f>IF(AND($C$4=$A49,AS$3&lt;&gt;""),AS$3,'EBA2017'!AS49)</f>
        <v>7</v>
      </c>
      <c r="AT49" s="4">
        <f>IF(AND($C$4=$A49,AT$3&lt;&gt;""),AT$3,'EBA2017'!AT49)</f>
        <v>0.5443003091402191</v>
      </c>
      <c r="AU49" s="30">
        <f t="shared" si="6"/>
        <v>41</v>
      </c>
      <c r="AV49" s="31">
        <f t="shared" si="7"/>
        <v>46.298349674856702</v>
      </c>
      <c r="AW49" s="4">
        <f>IF(AND($C$4=$A49,AW$3&lt;&gt;""),AW$3,'EBA2017'!AW49)</f>
        <v>3.5</v>
      </c>
      <c r="AX49" s="4">
        <f>IF(AND($C$4=$A49,AX$3&lt;&gt;""),AX$3,'EBA2017'!AX49)</f>
        <v>1</v>
      </c>
      <c r="AY49" s="4">
        <f>IF(AND($C$4=$A49,AY$3&lt;&gt;""),AY$3,'EBA2017'!AY49)</f>
        <v>1.3854916959932846</v>
      </c>
      <c r="AZ49" s="4">
        <f>IF(AND($C$4=$A49,AZ$3&lt;&gt;""),AZ$3,'EBA2017'!AZ49)</f>
        <v>5</v>
      </c>
      <c r="BA49" s="12" t="str">
        <f>IF(AND($C$4=$A49,BA$3&lt;&gt;""),BA$3,'EBA2017'!BA49)</f>
        <v>No practice</v>
      </c>
      <c r="BB49" s="4" t="str">
        <f>IF(AND($C$4=$A49,BB$3&lt;&gt;""),BB$3,'EBA2017'!BB49)</f>
        <v>No practice</v>
      </c>
      <c r="BC49" s="30">
        <f t="shared" si="8"/>
        <v>46</v>
      </c>
      <c r="BD49" s="31">
        <f t="shared" si="9"/>
        <v>32.025862068965516</v>
      </c>
      <c r="BE49" s="4">
        <f>IF(AND($C$4=$A49,BE$3&lt;&gt;""),BE$3,'EBA2017'!BE49)</f>
        <v>13.5</v>
      </c>
      <c r="BF49" s="4">
        <f>IF(AND($C$4=$A49,BF$3&lt;&gt;""),BF$3,'EBA2017'!BF49)</f>
        <v>3.5</v>
      </c>
      <c r="BG49" s="30">
        <f t="shared" si="10"/>
        <v>37</v>
      </c>
      <c r="BH49" s="31">
        <f t="shared" si="11"/>
        <v>50</v>
      </c>
      <c r="BI49" s="4">
        <f>IF(AND($C$4=$A49,BI$3&lt;&gt;""),BI$3,'EBA2017'!BI49)</f>
        <v>4.5</v>
      </c>
    </row>
    <row r="50" spans="1:61" x14ac:dyDescent="0.2">
      <c r="A50" s="2" t="s">
        <v>104</v>
      </c>
      <c r="B50" s="3" t="s">
        <v>105</v>
      </c>
      <c r="C50" s="3" t="s">
        <v>21</v>
      </c>
      <c r="D50" s="3" t="s">
        <v>22</v>
      </c>
      <c r="E50" s="3" t="s">
        <v>25</v>
      </c>
      <c r="F50" s="3" t="s">
        <v>160</v>
      </c>
      <c r="G50" s="3" t="s">
        <v>163</v>
      </c>
      <c r="H50" s="30">
        <f t="shared" si="1"/>
        <v>10</v>
      </c>
      <c r="I50" s="31">
        <f>VLOOKUP($A50,'Seed Base Calc'!$A:$S,19,FALSE)</f>
        <v>72.485860537311481</v>
      </c>
      <c r="J50" s="4">
        <f>IF(AND($C$4=$A50,J$3&lt;&gt;""),J$3,'EBA2017'!J50)</f>
        <v>7</v>
      </c>
      <c r="K50" s="4">
        <f>IF(AND($C$4=$A50,K$3&lt;&gt;""),K$3,'EBA2017'!K50)</f>
        <v>5</v>
      </c>
      <c r="L50" s="4">
        <f>IF(AND($C$4=$A50,L$3&lt;&gt;""),L$3,'EBA2017'!L50)</f>
        <v>8</v>
      </c>
      <c r="M50" s="12">
        <f>IF(AND($C$4=$A50,M$3&lt;&gt;""),M$3,'EBA2017'!M50)</f>
        <v>357</v>
      </c>
      <c r="N50" s="4">
        <f>IF(AND($C$4=$A50,N$3&lt;&gt;""),N$3,'EBA2017'!N50)</f>
        <v>21.337112931525208</v>
      </c>
      <c r="O50" s="30">
        <f t="shared" si="2"/>
        <v>52</v>
      </c>
      <c r="P50" s="31">
        <f>VLOOKUP($A50,'Fert Base Calc'!$A:$S,19,FALSE)</f>
        <v>30.357142857142854</v>
      </c>
      <c r="Q50" s="4">
        <f>IF(AND($C$4=$A50,Q$3&lt;&gt;""),Q$3,'EBA2017'!Q50)</f>
        <v>0</v>
      </c>
      <c r="R50" s="4">
        <f>IF(AND($C$4=$A50,R$3&lt;&gt;""),R$3,'EBA2017'!R50)</f>
        <v>2.5</v>
      </c>
      <c r="S50" s="4">
        <f>IF(AND($C$4=$A50,S$3&lt;&gt;""),S$3,'EBA2017'!S50)</f>
        <v>6</v>
      </c>
      <c r="T50" s="12" t="str">
        <f>IF(AND($C$4=$A50,T$3&lt;&gt;""),T$3,'EBA2017'!T50)</f>
        <v>N/A</v>
      </c>
      <c r="U50" s="4" t="str">
        <f>IF(AND($C$4=$A50,U$3&lt;&gt;""),U$3,'EBA2017'!U50)</f>
        <v>N/A</v>
      </c>
      <c r="V50" s="30">
        <f t="shared" si="3"/>
        <v>58</v>
      </c>
      <c r="W50" s="31">
        <f>VLOOKUP($A50,'Mech Base Calc'!$A:$Z,24,FALSE)</f>
        <v>18.5</v>
      </c>
      <c r="X50" s="4">
        <f>IF(AND($C$4=$A50,X$3&lt;&gt;""),X$3,'EBA2017'!X50)</f>
        <v>0</v>
      </c>
      <c r="Y50" s="4">
        <f>IF(AND($C$4=$A50,Y$3&lt;&gt;""),Y$3,'EBA2017'!Y50)</f>
        <v>1</v>
      </c>
      <c r="Z50" s="4">
        <f>IF(AND($C$4=$A50,Z$3&lt;&gt;""),Z$3,'EBA2017'!Z50)</f>
        <v>4</v>
      </c>
      <c r="AA50" s="12" t="str">
        <f>IF(AND($C$4=$A50,AA$3&lt;&gt;""),AA$3,'EBA2017'!AA50)</f>
        <v>N/A</v>
      </c>
      <c r="AB50" s="4" t="str">
        <f>IF(AND($C$4=$A50,AB$3&lt;&gt;""),AB$3,'EBA2017'!AB50)</f>
        <v>N/A</v>
      </c>
      <c r="AC50" s="12" t="str">
        <f>IF(AND($C$4=$A50,AC$3&lt;&gt;""),AC$3,'EBA2017'!AC50)</f>
        <v>N/A</v>
      </c>
      <c r="AD50" s="4" t="str">
        <f>IF(AND($C$4=$A50,AD$3&lt;&gt;""),AD$3,'EBA2017'!AD50)</f>
        <v>N/A</v>
      </c>
      <c r="AE50" s="30">
        <f t="shared" si="4"/>
        <v>2</v>
      </c>
      <c r="AF50" s="31">
        <f>100*AVERAGE(IF(VLOOKUP(A50,'Data Gaps'!A:O,15,FALSE)="X",Calculator!AH50/4,AVERAGE(AG50/5,AH50/4)),AVERAGE(AI50/5,AJ50/8),IF(VLOOKUP(A50,'Data Gaps'!A:O,15,FALSE)="X",Calculator!AL50/7,AVERAGE(AK50/7,AL50/7)))</f>
        <v>86.670634920634924</v>
      </c>
      <c r="AG50" s="4">
        <f>IF(AND($C$4=$A50,AG$3&lt;&gt;""),AG$3,'EBA2017'!AG50)</f>
        <v>4.2750000000000004</v>
      </c>
      <c r="AH50" s="4">
        <f>IF(AND($C$4=$A50,AH$3&lt;&gt;""),AH$3,'EBA2017'!AH50)</f>
        <v>3.6666666666666661</v>
      </c>
      <c r="AI50" s="4">
        <f>IF(AND($C$4=$A50,AI$3&lt;&gt;""),AI$3,'EBA2017'!AI50)</f>
        <v>5</v>
      </c>
      <c r="AJ50" s="4">
        <f>IF(AND($C$4=$A50,AJ$3&lt;&gt;""),AJ$3,'EBA2017'!AJ50)</f>
        <v>8</v>
      </c>
      <c r="AK50" s="4">
        <f>IF(AND($C$4=$A50,AK$3&lt;&gt;""),AK$3,'EBA2017'!AK50)</f>
        <v>7</v>
      </c>
      <c r="AL50" s="4">
        <f>IF(AND($C$4=$A50,AL$3&lt;&gt;""),AL$3,'EBA2017'!AL50)</f>
        <v>3</v>
      </c>
      <c r="AM50" s="30">
        <f t="shared" si="5"/>
        <v>27</v>
      </c>
      <c r="AN50" s="31">
        <f>VLOOKUP($A50,'Mark Base Calc'!$A:$Z,21,FALSE)</f>
        <v>61.284155787865998</v>
      </c>
      <c r="AO50" s="4">
        <f>IF(AND($C$4=$A50,AO$3&lt;&gt;""),AO$3,'EBA2017'!AO50)</f>
        <v>9.15</v>
      </c>
      <c r="AP50" s="4">
        <f>IF(AND($C$4=$A50,AP$3&lt;&gt;""),AP$3,'EBA2017'!AP50)</f>
        <v>5</v>
      </c>
      <c r="AQ50" s="4">
        <f>IF(AND($C$4=$A50,AQ$3&lt;&gt;""),AQ$3,'EBA2017'!AQ50)</f>
        <v>6</v>
      </c>
      <c r="AR50" s="12">
        <f>IF(AND($C$4=$A50,AR$3&lt;&gt;""),AR$3,'EBA2017'!AR50)</f>
        <v>2</v>
      </c>
      <c r="AS50" s="12">
        <f>IF(AND($C$4=$A50,AS$3&lt;&gt;""),AS$3,'EBA2017'!AS50)</f>
        <v>11</v>
      </c>
      <c r="AT50" s="4">
        <f>IF(AND($C$4=$A50,AT$3&lt;&gt;""),AT$3,'EBA2017'!AT50)</f>
        <v>0.69350935350720011</v>
      </c>
      <c r="AU50" s="30">
        <f t="shared" si="6"/>
        <v>5</v>
      </c>
      <c r="AV50" s="31">
        <f t="shared" si="7"/>
        <v>84.752214283223211</v>
      </c>
      <c r="AW50" s="4">
        <f>IF(AND($C$4=$A50,AW$3&lt;&gt;""),AW$3,'EBA2017'!AW50)</f>
        <v>7.4999999999999991</v>
      </c>
      <c r="AX50" s="4">
        <f>IF(AND($C$4=$A50,AX$3&lt;&gt;""),AX$3,'EBA2017'!AX50)</f>
        <v>3</v>
      </c>
      <c r="AY50" s="4">
        <f>IF(AND($C$4=$A50,AY$3&lt;&gt;""),AY$3,'EBA2017'!AY50)</f>
        <v>0.38137696119632913</v>
      </c>
      <c r="AZ50" s="4">
        <f>IF(AND($C$4=$A50,AZ$3&lt;&gt;""),AZ$3,'EBA2017'!AZ50)</f>
        <v>7.0000000000000009</v>
      </c>
      <c r="BA50" s="12">
        <f>IF(AND($C$4=$A50,BA$3&lt;&gt;""),BA$3,'EBA2017'!BA50)</f>
        <v>7</v>
      </c>
      <c r="BB50" s="4">
        <f>IF(AND($C$4=$A50,BB$3&lt;&gt;""),BB$3,'EBA2017'!BB50)</f>
        <v>0</v>
      </c>
      <c r="BC50" s="30">
        <f t="shared" si="8"/>
        <v>11</v>
      </c>
      <c r="BD50" s="31">
        <f t="shared" si="9"/>
        <v>73.793103448275872</v>
      </c>
      <c r="BE50" s="4">
        <f>IF(AND($C$4=$A50,BE$3&lt;&gt;""),BE$3,'EBA2017'!BE50)</f>
        <v>22.500000000000004</v>
      </c>
      <c r="BF50" s="4">
        <f>IF(AND($C$4=$A50,BF$3&lt;&gt;""),BF$3,'EBA2017'!BF50)</f>
        <v>14</v>
      </c>
      <c r="BG50" s="30">
        <f t="shared" si="10"/>
        <v>15</v>
      </c>
      <c r="BH50" s="31">
        <f t="shared" si="11"/>
        <v>72.222222222222214</v>
      </c>
      <c r="BI50" s="4">
        <f>IF(AND($C$4=$A50,BI$3&lt;&gt;""),BI$3,'EBA2017'!BI50)</f>
        <v>6.4999999999999991</v>
      </c>
    </row>
    <row r="51" spans="1:61" x14ac:dyDescent="0.2">
      <c r="A51" s="2" t="s">
        <v>106</v>
      </c>
      <c r="B51" s="3" t="s">
        <v>107</v>
      </c>
      <c r="C51" s="3" t="s">
        <v>32</v>
      </c>
      <c r="D51" s="3" t="s">
        <v>33</v>
      </c>
      <c r="E51" s="3" t="s">
        <v>9</v>
      </c>
      <c r="F51" s="3" t="s">
        <v>159</v>
      </c>
      <c r="G51" s="3" t="s">
        <v>158</v>
      </c>
      <c r="H51" s="30">
        <f t="shared" si="1"/>
        <v>11</v>
      </c>
      <c r="I51" s="31">
        <f>VLOOKUP($A51,'Seed Base Calc'!$A:$S,19,FALSE)</f>
        <v>72.278132950309853</v>
      </c>
      <c r="J51" s="4">
        <f>IF(AND($C$4=$A51,J$3&lt;&gt;""),J$3,'EBA2017'!J51)</f>
        <v>10</v>
      </c>
      <c r="K51" s="4">
        <f>IF(AND($C$4=$A51,K$3&lt;&gt;""),K$3,'EBA2017'!K51)</f>
        <v>6.5</v>
      </c>
      <c r="L51" s="4">
        <f>IF(AND($C$4=$A51,L$3&lt;&gt;""),L$3,'EBA2017'!L51)</f>
        <v>5.25</v>
      </c>
      <c r="M51" s="12">
        <f>IF(AND($C$4=$A51,M$3&lt;&gt;""),M$3,'EBA2017'!M51)</f>
        <v>570</v>
      </c>
      <c r="N51" s="4">
        <f>IF(AND($C$4=$A51,N$3&lt;&gt;""),N$3,'EBA2017'!N51)</f>
        <v>1.5066700924021341</v>
      </c>
      <c r="O51" s="30">
        <f t="shared" si="2"/>
        <v>21</v>
      </c>
      <c r="P51" s="31">
        <f>VLOOKUP($A51,'Fert Base Calc'!$A:$S,19,FALSE)</f>
        <v>67.518890114813829</v>
      </c>
      <c r="Q51" s="4">
        <f>IF(AND($C$4=$A51,Q$3&lt;&gt;""),Q$3,'EBA2017'!Q51)</f>
        <v>4.4000000000000004</v>
      </c>
      <c r="R51" s="4">
        <f>IF(AND($C$4=$A51,R$3&lt;&gt;""),R$3,'EBA2017'!R51)</f>
        <v>4.5000000000000009</v>
      </c>
      <c r="S51" s="4">
        <f>IF(AND($C$4=$A51,S$3&lt;&gt;""),S$3,'EBA2017'!S51)</f>
        <v>3.5</v>
      </c>
      <c r="T51" s="12">
        <f>IF(AND($C$4=$A51,T$3&lt;&gt;""),T$3,'EBA2017'!T51)</f>
        <v>134</v>
      </c>
      <c r="U51" s="4">
        <f>IF(AND($C$4=$A51,U$3&lt;&gt;""),U$3,'EBA2017'!U51)</f>
        <v>9.2283543159630703</v>
      </c>
      <c r="V51" s="30">
        <f t="shared" si="3"/>
        <v>13</v>
      </c>
      <c r="W51" s="31">
        <f>VLOOKUP($A51,'Mech Base Calc'!$A:$Z,24,FALSE)</f>
        <v>68.100200742205814</v>
      </c>
      <c r="X51" s="4">
        <f>IF(AND($C$4=$A51,X$3&lt;&gt;""),X$3,'EBA2017'!X51)</f>
        <v>2</v>
      </c>
      <c r="Y51" s="4">
        <f>IF(AND($C$4=$A51,Y$3&lt;&gt;""),Y$3,'EBA2017'!Y51)</f>
        <v>5.1666666666666661</v>
      </c>
      <c r="Z51" s="4">
        <f>IF(AND($C$4=$A51,Z$3&lt;&gt;""),Z$3,'EBA2017'!Z51)</f>
        <v>3</v>
      </c>
      <c r="AA51" s="12">
        <f>IF(AND($C$4=$A51,AA$3&lt;&gt;""),AA$3,'EBA2017'!AA51)</f>
        <v>30</v>
      </c>
      <c r="AB51" s="4">
        <f>IF(AND($C$4=$A51,AB$3&lt;&gt;""),AB$3,'EBA2017'!AB51)</f>
        <v>12.555584103351118</v>
      </c>
      <c r="AC51" s="12">
        <f>IF(AND($C$4=$A51,AC$3&lt;&gt;""),AC$3,'EBA2017'!AC51)</f>
        <v>10.5</v>
      </c>
      <c r="AD51" s="4">
        <f>IF(AND($C$4=$A51,AD$3&lt;&gt;""),AD$3,'EBA2017'!AD51)</f>
        <v>3.0133401848042678E-2</v>
      </c>
      <c r="AE51" s="30">
        <f t="shared" si="4"/>
        <v>33</v>
      </c>
      <c r="AF51" s="31">
        <f>100*AVERAGE(IF(VLOOKUP(A51,'Data Gaps'!A:O,15,FALSE)="X",Calculator!AH51/4,AVERAGE(AG51/5,AH51/4)),AVERAGE(AI51/5,AJ51/8),IF(VLOOKUP(A51,'Data Gaps'!A:O,15,FALSE)="X",Calculator!AL51/7,AVERAGE(AK51/7,AL51/7)))</f>
        <v>48.382936507936506</v>
      </c>
      <c r="AG51" s="4">
        <f>IF(AND($C$4=$A51,AG$3&lt;&gt;""),AG$3,'EBA2017'!AG51)</f>
        <v>0</v>
      </c>
      <c r="AH51" s="4">
        <f>IF(AND($C$4=$A51,AH$3&lt;&gt;""),AH$3,'EBA2017'!AH51)</f>
        <v>3.5833333333333339</v>
      </c>
      <c r="AI51" s="4">
        <f>IF(AND($C$4=$A51,AI$3&lt;&gt;""),AI$3,'EBA2017'!AI51)</f>
        <v>4.5</v>
      </c>
      <c r="AJ51" s="4">
        <f>IF(AND($C$4=$A51,AJ$3&lt;&gt;""),AJ$3,'EBA2017'!AJ51)</f>
        <v>2</v>
      </c>
      <c r="AK51" s="4">
        <f>IF(AND($C$4=$A51,AK$3&lt;&gt;""),AK$3,'EBA2017'!AK51)</f>
        <v>0</v>
      </c>
      <c r="AL51" s="4">
        <f>IF(AND($C$4=$A51,AL$3&lt;&gt;""),AL$3,'EBA2017'!AL51)</f>
        <v>6</v>
      </c>
      <c r="AM51" s="30">
        <f t="shared" si="5"/>
        <v>38</v>
      </c>
      <c r="AN51" s="31">
        <f>VLOOKUP($A51,'Mark Base Calc'!$A:$Z,21,FALSE)</f>
        <v>53.466253588388504</v>
      </c>
      <c r="AO51" s="4">
        <f>IF(AND($C$4=$A51,AO$3&lt;&gt;""),AO$3,'EBA2017'!AO51)</f>
        <v>5.5</v>
      </c>
      <c r="AP51" s="4">
        <f>IF(AND($C$4=$A51,AP$3&lt;&gt;""),AP$3,'EBA2017'!AP51)</f>
        <v>2</v>
      </c>
      <c r="AQ51" s="4">
        <f>IF(AND($C$4=$A51,AQ$3&lt;&gt;""),AQ$3,'EBA2017'!AQ51)</f>
        <v>5.5</v>
      </c>
      <c r="AR51" s="12">
        <f>IF(AND($C$4=$A51,AR$3&lt;&gt;""),AR$3,'EBA2017'!AR51)</f>
        <v>1</v>
      </c>
      <c r="AS51" s="12">
        <f>IF(AND($C$4=$A51,AS$3&lt;&gt;""),AS$3,'EBA2017'!AS51)</f>
        <v>2</v>
      </c>
      <c r="AT51" s="4">
        <f>IF(AND($C$4=$A51,AT$3&lt;&gt;""),AT$3,'EBA2017'!AT51)</f>
        <v>2.5111168206702238E-2</v>
      </c>
      <c r="AU51" s="30">
        <f t="shared" si="6"/>
        <v>47</v>
      </c>
      <c r="AV51" s="31">
        <f t="shared" si="7"/>
        <v>37.406991216120659</v>
      </c>
      <c r="AW51" s="4">
        <f>IF(AND($C$4=$A51,AW$3&lt;&gt;""),AW$3,'EBA2017'!AW51)</f>
        <v>5.5</v>
      </c>
      <c r="AX51" s="4">
        <f>IF(AND($C$4=$A51,AX$3&lt;&gt;""),AX$3,'EBA2017'!AX51)</f>
        <v>235</v>
      </c>
      <c r="AY51" s="4">
        <f>IF(AND($C$4=$A51,AY$3&lt;&gt;""),AY$3,'EBA2017'!AY51)</f>
        <v>3.7666752310053355</v>
      </c>
      <c r="AZ51" s="4">
        <f>IF(AND($C$4=$A51,AZ$3&lt;&gt;""),AZ$3,'EBA2017'!AZ51)</f>
        <v>5</v>
      </c>
      <c r="BA51" s="12" t="str">
        <f>IF(AND($C$4=$A51,BA$3&lt;&gt;""),BA$3,'EBA2017'!BA51)</f>
        <v>No practice</v>
      </c>
      <c r="BB51" s="4" t="str">
        <f>IF(AND($C$4=$A51,BB$3&lt;&gt;""),BB$3,'EBA2017'!BB51)</f>
        <v>No practice</v>
      </c>
      <c r="BC51" s="30">
        <f t="shared" si="8"/>
        <v>17</v>
      </c>
      <c r="BD51" s="31">
        <f t="shared" si="9"/>
        <v>67.284482758620683</v>
      </c>
      <c r="BE51" s="4">
        <f>IF(AND($C$4=$A51,BE$3&lt;&gt;""),BE$3,'EBA2017'!BE51)</f>
        <v>18</v>
      </c>
      <c r="BF51" s="4">
        <f>IF(AND($C$4=$A51,BF$3&lt;&gt;""),BF$3,'EBA2017'!BF51)</f>
        <v>14.5</v>
      </c>
      <c r="BG51" s="30">
        <f t="shared" si="10"/>
        <v>37</v>
      </c>
      <c r="BH51" s="31">
        <f t="shared" si="11"/>
        <v>50</v>
      </c>
      <c r="BI51" s="4">
        <f>IF(AND($C$4=$A51,BI$3&lt;&gt;""),BI$3,'EBA2017'!BI51)</f>
        <v>4.5</v>
      </c>
    </row>
    <row r="52" spans="1:61" x14ac:dyDescent="0.2">
      <c r="A52" s="2" t="s">
        <v>108</v>
      </c>
      <c r="B52" s="3" t="s">
        <v>109</v>
      </c>
      <c r="C52" s="3" t="s">
        <v>38</v>
      </c>
      <c r="D52" s="3" t="s">
        <v>39</v>
      </c>
      <c r="E52" s="3" t="s">
        <v>40</v>
      </c>
      <c r="F52" s="3" t="s">
        <v>162</v>
      </c>
      <c r="G52" s="3" t="s">
        <v>163</v>
      </c>
      <c r="H52" s="30">
        <f t="shared" si="1"/>
        <v>5</v>
      </c>
      <c r="I52" s="31">
        <f>VLOOKUP($A52,'Seed Base Calc'!$A:$S,19,FALSE)</f>
        <v>81.522870719602935</v>
      </c>
      <c r="J52" s="4">
        <f>IF(AND($C$4=$A52,J$3&lt;&gt;""),J$3,'EBA2017'!J52)</f>
        <v>10</v>
      </c>
      <c r="K52" s="4">
        <f>IF(AND($C$4=$A52,K$3&lt;&gt;""),K$3,'EBA2017'!K52)</f>
        <v>5.5</v>
      </c>
      <c r="L52" s="4">
        <f>IF(AND($C$4=$A52,L$3&lt;&gt;""),L$3,'EBA2017'!L52)</f>
        <v>11.5</v>
      </c>
      <c r="M52" s="12">
        <f>IF(AND($C$4=$A52,M$3&lt;&gt;""),M$3,'EBA2017'!M52)</f>
        <v>699</v>
      </c>
      <c r="N52" s="4">
        <f>IF(AND($C$4=$A52,N$3&lt;&gt;""),N$3,'EBA2017'!N52)</f>
        <v>15.178536439332804</v>
      </c>
      <c r="O52" s="30">
        <f t="shared" si="2"/>
        <v>2</v>
      </c>
      <c r="P52" s="31">
        <f>VLOOKUP($A52,'Fert Base Calc'!$A:$S,19,FALSE)</f>
        <v>93.760573194726334</v>
      </c>
      <c r="Q52" s="4">
        <f>IF(AND($C$4=$A52,Q$3&lt;&gt;""),Q$3,'EBA2017'!Q52)</f>
        <v>7</v>
      </c>
      <c r="R52" s="4">
        <f>IF(AND($C$4=$A52,R$3&lt;&gt;""),R$3,'EBA2017'!R52)</f>
        <v>6.5</v>
      </c>
      <c r="S52" s="4">
        <f>IF(AND($C$4=$A52,S$3&lt;&gt;""),S$3,'EBA2017'!S52)</f>
        <v>6</v>
      </c>
      <c r="T52" s="12">
        <f>IF(AND($C$4=$A52,T$3&lt;&gt;""),T$3,'EBA2017'!T52)</f>
        <v>60</v>
      </c>
      <c r="U52" s="4">
        <f>IF(AND($C$4=$A52,U$3&lt;&gt;""),U$3,'EBA2017'!U52)</f>
        <v>15.749043065292748</v>
      </c>
      <c r="V52" s="30">
        <f t="shared" si="3"/>
        <v>1</v>
      </c>
      <c r="W52" s="31">
        <f>VLOOKUP($A52,'Mech Base Calc'!$A:$Z,24,FALSE)</f>
        <v>91.041844082478292</v>
      </c>
      <c r="X52" s="4">
        <f>IF(AND($C$4=$A52,X$3&lt;&gt;""),X$3,'EBA2017'!X52)</f>
        <v>5</v>
      </c>
      <c r="Y52" s="4">
        <f>IF(AND($C$4=$A52,Y$3&lt;&gt;""),Y$3,'EBA2017'!Y52)</f>
        <v>7</v>
      </c>
      <c r="Z52" s="4">
        <f>IF(AND($C$4=$A52,Z$3&lt;&gt;""),Z$3,'EBA2017'!Z52)</f>
        <v>5</v>
      </c>
      <c r="AA52" s="12">
        <f>IF(AND($C$4=$A52,AA$3&lt;&gt;""),AA$3,'EBA2017'!AA52)</f>
        <v>60</v>
      </c>
      <c r="AB52" s="4">
        <f>IF(AND($C$4=$A52,AB$3&lt;&gt;""),AB$3,'EBA2017'!AB52)</f>
        <v>220.48660291409848</v>
      </c>
      <c r="AC52" s="12">
        <f>IF(AND($C$4=$A52,AC$3&lt;&gt;""),AC$3,'EBA2017'!AC52)</f>
        <v>2</v>
      </c>
      <c r="AD52" s="4">
        <f>IF(AND($C$4=$A52,AD$3&lt;&gt;""),AD$3,'EBA2017'!AD52)</f>
        <v>0.43716982832179735</v>
      </c>
      <c r="AE52" s="30">
        <f t="shared" si="4"/>
        <v>21</v>
      </c>
      <c r="AF52" s="31">
        <f>100*AVERAGE(IF(VLOOKUP(A52,'Data Gaps'!A:O,15,FALSE)="X",Calculator!AH52/4,AVERAGE(AG52/5,AH52/4)),AVERAGE(AI52/5,AJ52/8),IF(VLOOKUP(A52,'Data Gaps'!A:O,15,FALSE)="X",Calculator!AL52/7,AVERAGE(AK52/7,AL52/7)))</f>
        <v>58.077380952380949</v>
      </c>
      <c r="AG52" s="4">
        <f>IF(AND($C$4=$A52,AG$3&lt;&gt;""),AG$3,'EBA2017'!AG52)</f>
        <v>4.0750000000000002</v>
      </c>
      <c r="AH52" s="4">
        <f>IF(AND($C$4=$A52,AH$3&lt;&gt;""),AH$3,'EBA2017'!AH52)</f>
        <v>3.75</v>
      </c>
      <c r="AI52" s="4">
        <f>IF(AND($C$4=$A52,AI$3&lt;&gt;""),AI$3,'EBA2017'!AI52)</f>
        <v>0</v>
      </c>
      <c r="AJ52" s="4">
        <f>IF(AND($C$4=$A52,AJ$3&lt;&gt;""),AJ$3,'EBA2017'!AJ52)</f>
        <v>7</v>
      </c>
      <c r="AK52" s="4">
        <f>IF(AND($C$4=$A52,AK$3&lt;&gt;""),AK$3,'EBA2017'!AK52)</f>
        <v>0</v>
      </c>
      <c r="AL52" s="4">
        <f>IF(AND($C$4=$A52,AL$3&lt;&gt;""),AL$3,'EBA2017'!AL52)</f>
        <v>6</v>
      </c>
      <c r="AM52" s="30">
        <f t="shared" si="5"/>
        <v>7</v>
      </c>
      <c r="AN52" s="31">
        <f>VLOOKUP($A52,'Mark Base Calc'!$A:$Z,21,FALSE)</f>
        <v>78.641826923076934</v>
      </c>
      <c r="AO52" s="4">
        <f>IF(AND($C$4=$A52,AO$3&lt;&gt;""),AO$3,'EBA2017'!AO52)</f>
        <v>8.8000000000000007</v>
      </c>
      <c r="AP52" s="4">
        <f>IF(AND($C$4=$A52,AP$3&lt;&gt;""),AP$3,'EBA2017'!AP52)</f>
        <v>7.75</v>
      </c>
      <c r="AQ52" s="4">
        <f>IF(AND($C$4=$A52,AQ$3&lt;&gt;""),AQ$3,'EBA2017'!AQ52)</f>
        <v>4.5</v>
      </c>
      <c r="AR52" s="12">
        <f>IF(AND($C$4=$A52,AR$3&lt;&gt;""),AR$3,'EBA2017'!AR52)</f>
        <v>0</v>
      </c>
      <c r="AS52" s="12">
        <f>IF(AND($C$4=$A52,AS$3&lt;&gt;""),AS$3,'EBA2017'!AS52)</f>
        <v>0</v>
      </c>
      <c r="AT52" s="4">
        <f>IF(AND($C$4=$A52,AT$3&lt;&gt;""),AT$3,'EBA2017'!AT52)</f>
        <v>0</v>
      </c>
      <c r="AU52" s="30">
        <f t="shared" si="6"/>
        <v>24</v>
      </c>
      <c r="AV52" s="31">
        <f t="shared" si="7"/>
        <v>65.366732649074194</v>
      </c>
      <c r="AW52" s="4">
        <f>IF(AND($C$4=$A52,AW$3&lt;&gt;""),AW$3,'EBA2017'!AW52)</f>
        <v>8.8333333333333321</v>
      </c>
      <c r="AX52" s="4">
        <f>IF(AND($C$4=$A52,AX$3&lt;&gt;""),AX$3,'EBA2017'!AX52)</f>
        <v>90</v>
      </c>
      <c r="AY52" s="4">
        <f>IF(AND($C$4=$A52,AY$3&lt;&gt;""),AY$3,'EBA2017'!AY52)</f>
        <v>1.7486793132871894</v>
      </c>
      <c r="AZ52" s="4">
        <f>IF(AND($C$4=$A52,AZ$3&lt;&gt;""),AZ$3,'EBA2017'!AZ52)</f>
        <v>9</v>
      </c>
      <c r="BA52" s="12">
        <f>IF(AND($C$4=$A52,BA$3&lt;&gt;""),BA$3,'EBA2017'!BA52)</f>
        <v>90</v>
      </c>
      <c r="BB52" s="4">
        <f>IF(AND($C$4=$A52,BB$3&lt;&gt;""),BB$3,'EBA2017'!BB52)</f>
        <v>19.410340377487799</v>
      </c>
      <c r="BC52" s="30">
        <f t="shared" si="8"/>
        <v>13</v>
      </c>
      <c r="BD52" s="31">
        <f t="shared" si="9"/>
        <v>73.40517241379311</v>
      </c>
      <c r="BE52" s="4">
        <f>IF(AND($C$4=$A52,BE$3&lt;&gt;""),BE$3,'EBA2017'!BE52)</f>
        <v>23</v>
      </c>
      <c r="BF52" s="4">
        <f>IF(AND($C$4=$A52,BF$3&lt;&gt;""),BF$3,'EBA2017'!BF52)</f>
        <v>13.5</v>
      </c>
      <c r="BG52" s="30">
        <f t="shared" si="10"/>
        <v>1</v>
      </c>
      <c r="BH52" s="31">
        <f t="shared" si="11"/>
        <v>100</v>
      </c>
      <c r="BI52" s="4">
        <f>IF(AND($C$4=$A52,BI$3&lt;&gt;""),BI$3,'EBA2017'!BI52)</f>
        <v>9</v>
      </c>
    </row>
    <row r="53" spans="1:61" x14ac:dyDescent="0.2">
      <c r="A53" s="2" t="s">
        <v>110</v>
      </c>
      <c r="B53" s="3" t="s">
        <v>111</v>
      </c>
      <c r="C53" s="3" t="s">
        <v>7</v>
      </c>
      <c r="D53" s="3" t="s">
        <v>8</v>
      </c>
      <c r="E53" s="3" t="s">
        <v>25</v>
      </c>
      <c r="F53" s="3" t="s">
        <v>162</v>
      </c>
      <c r="G53" s="3" t="s">
        <v>163</v>
      </c>
      <c r="H53" s="30">
        <f t="shared" si="1"/>
        <v>6</v>
      </c>
      <c r="I53" s="31">
        <f>VLOOKUP($A53,'Seed Base Calc'!$A:$S,19,FALSE)</f>
        <v>81.110089378781979</v>
      </c>
      <c r="J53" s="4">
        <f>IF(AND($C$4=$A53,J$3&lt;&gt;""),J$3,'EBA2017'!J53)</f>
        <v>10</v>
      </c>
      <c r="K53" s="4">
        <f>IF(AND($C$4=$A53,K$3&lt;&gt;""),K$3,'EBA2017'!K53)</f>
        <v>5.5</v>
      </c>
      <c r="L53" s="4">
        <f>IF(AND($C$4=$A53,L$3&lt;&gt;""),L$3,'EBA2017'!L53)</f>
        <v>11</v>
      </c>
      <c r="M53" s="12">
        <f>IF(AND($C$4=$A53,M$3&lt;&gt;""),M$3,'EBA2017'!M53)</f>
        <v>654</v>
      </c>
      <c r="N53" s="4">
        <f>IF(AND($C$4=$A53,N$3&lt;&gt;""),N$3,'EBA2017'!N53)</f>
        <v>23.156341660470691</v>
      </c>
      <c r="O53" s="30">
        <f t="shared" si="2"/>
        <v>27</v>
      </c>
      <c r="P53" s="31">
        <f>VLOOKUP($A53,'Fert Base Calc'!$A:$S,19,FALSE)</f>
        <v>64.673090900552992</v>
      </c>
      <c r="Q53" s="4">
        <f>IF(AND($C$4=$A53,Q$3&lt;&gt;""),Q$3,'EBA2017'!Q53)</f>
        <v>4.8</v>
      </c>
      <c r="R53" s="4">
        <f>IF(AND($C$4=$A53,R$3&lt;&gt;""),R$3,'EBA2017'!R53)</f>
        <v>6.5</v>
      </c>
      <c r="S53" s="4">
        <f>IF(AND($C$4=$A53,S$3&lt;&gt;""),S$3,'EBA2017'!S53)</f>
        <v>3</v>
      </c>
      <c r="T53" s="12">
        <f>IF(AND($C$4=$A53,T$3&lt;&gt;""),T$3,'EBA2017'!T53)</f>
        <v>1205</v>
      </c>
      <c r="U53" s="4">
        <f>IF(AND($C$4=$A53,U$3&lt;&gt;""),U$3,'EBA2017'!U53)</f>
        <v>46.284200735873149</v>
      </c>
      <c r="V53" s="30">
        <f t="shared" si="3"/>
        <v>3</v>
      </c>
      <c r="W53" s="31">
        <f>VLOOKUP($A53,'Mech Base Calc'!$A:$Z,24,FALSE)</f>
        <v>88.816486430584732</v>
      </c>
      <c r="X53" s="4">
        <f>IF(AND($C$4=$A53,X$3&lt;&gt;""),X$3,'EBA2017'!X53)</f>
        <v>5</v>
      </c>
      <c r="Y53" s="4">
        <f>IF(AND($C$4=$A53,Y$3&lt;&gt;""),Y$3,'EBA2017'!Y53)</f>
        <v>8</v>
      </c>
      <c r="Z53" s="4">
        <f>IF(AND($C$4=$A53,Z$3&lt;&gt;""),Z$3,'EBA2017'!Z53)</f>
        <v>5</v>
      </c>
      <c r="AA53" s="12">
        <f>IF(AND($C$4=$A53,AA$3&lt;&gt;""),AA$3,'EBA2017'!AA53)</f>
        <v>30</v>
      </c>
      <c r="AB53" s="4">
        <f>IF(AND($C$4=$A53,AB$3&lt;&gt;""),AB$3,'EBA2017'!AB53)</f>
        <v>7.7053020092208628</v>
      </c>
      <c r="AC53" s="12">
        <f>IF(AND($C$4=$A53,AC$3&lt;&gt;""),AC$3,'EBA2017'!AC53)</f>
        <v>30</v>
      </c>
      <c r="AD53" s="4">
        <f>IF(AND($C$4=$A53,AD$3&lt;&gt;""),AD$3,'EBA2017'!AD53)</f>
        <v>0.42723877602344446</v>
      </c>
      <c r="AE53" s="30">
        <f t="shared" si="4"/>
        <v>11</v>
      </c>
      <c r="AF53" s="31">
        <f>100*AVERAGE(IF(VLOOKUP(A53,'Data Gaps'!A:O,15,FALSE)="X",Calculator!AH53/4,AVERAGE(AG53/5,AH53/4)),AVERAGE(AI53/5,AJ53/8),IF(VLOOKUP(A53,'Data Gaps'!A:O,15,FALSE)="X",Calculator!AL53/7,AVERAGE(AK53/7,AL53/7)))</f>
        <v>72.410714285714278</v>
      </c>
      <c r="AG53" s="4">
        <f>IF(AND($C$4=$A53,AG$3&lt;&gt;""),AG$3,'EBA2017'!AG53)</f>
        <v>3.375</v>
      </c>
      <c r="AH53" s="4">
        <f>IF(AND($C$4=$A53,AH$3&lt;&gt;""),AH$3,'EBA2017'!AH53)</f>
        <v>3.75</v>
      </c>
      <c r="AI53" s="4">
        <f>IF(AND($C$4=$A53,AI$3&lt;&gt;""),AI$3,'EBA2017'!AI53)</f>
        <v>5</v>
      </c>
      <c r="AJ53" s="4">
        <f>IF(AND($C$4=$A53,AJ$3&lt;&gt;""),AJ$3,'EBA2017'!AJ53)</f>
        <v>7</v>
      </c>
      <c r="AK53" s="4">
        <f>IF(AND($C$4=$A53,AK$3&lt;&gt;""),AK$3,'EBA2017'!AK53)</f>
        <v>0</v>
      </c>
      <c r="AL53" s="4">
        <f>IF(AND($C$4=$A53,AL$3&lt;&gt;""),AL$3,'EBA2017'!AL53)</f>
        <v>6</v>
      </c>
      <c r="AM53" s="30">
        <f t="shared" si="5"/>
        <v>12</v>
      </c>
      <c r="AN53" s="31">
        <f>VLOOKUP($A53,'Mark Base Calc'!$A:$Z,21,FALSE)</f>
        <v>73.239850427350419</v>
      </c>
      <c r="AO53" s="4">
        <f>IF(AND($C$4=$A53,AO$3&lt;&gt;""),AO$3,'EBA2017'!AO53)</f>
        <v>7.3</v>
      </c>
      <c r="AP53" s="4">
        <f>IF(AND($C$4=$A53,AP$3&lt;&gt;""),AP$3,'EBA2017'!AP53)</f>
        <v>6.5</v>
      </c>
      <c r="AQ53" s="4">
        <f>IF(AND($C$4=$A53,AQ$3&lt;&gt;""),AQ$3,'EBA2017'!AQ53)</f>
        <v>5</v>
      </c>
      <c r="AR53" s="12">
        <f>IF(AND($C$4=$A53,AR$3&lt;&gt;""),AR$3,'EBA2017'!AR53)</f>
        <v>0</v>
      </c>
      <c r="AS53" s="12">
        <f>IF(AND($C$4=$A53,AS$3&lt;&gt;""),AS$3,'EBA2017'!AS53)</f>
        <v>0</v>
      </c>
      <c r="AT53" s="4">
        <f>IF(AND($C$4=$A53,AT$3&lt;&gt;""),AT$3,'EBA2017'!AT53)</f>
        <v>0</v>
      </c>
      <c r="AU53" s="30">
        <f t="shared" si="6"/>
        <v>2</v>
      </c>
      <c r="AV53" s="31">
        <f t="shared" si="7"/>
        <v>90.959497307168078</v>
      </c>
      <c r="AW53" s="4">
        <f>IF(AND($C$4=$A53,AW$3&lt;&gt;""),AW$3,'EBA2017'!AW53)</f>
        <v>9.8333333333333321</v>
      </c>
      <c r="AX53" s="4">
        <f>IF(AND($C$4=$A53,AX$3&lt;&gt;""),AX$3,'EBA2017'!AX53)</f>
        <v>15</v>
      </c>
      <c r="AY53" s="4">
        <f>IF(AND($C$4=$A53,AY$3&lt;&gt;""),AY$3,'EBA2017'!AY53)</f>
        <v>2.010870505817012</v>
      </c>
      <c r="AZ53" s="4">
        <f>IF(AND($C$4=$A53,AZ$3&lt;&gt;""),AZ$3,'EBA2017'!AZ53)</f>
        <v>9</v>
      </c>
      <c r="BA53" s="12">
        <f>IF(AND($C$4=$A53,BA$3&lt;&gt;""),BA$3,'EBA2017'!BA53)</f>
        <v>15</v>
      </c>
      <c r="BB53" s="4">
        <f>IF(AND($C$4=$A53,BB$3&lt;&gt;""),BB$3,'EBA2017'!BB53)</f>
        <v>2.010870505817012</v>
      </c>
      <c r="BC53" s="30">
        <f t="shared" si="8"/>
        <v>7</v>
      </c>
      <c r="BD53" s="31">
        <f t="shared" si="9"/>
        <v>80.905172413793096</v>
      </c>
      <c r="BE53" s="4">
        <f>IF(AND($C$4=$A53,BE$3&lt;&gt;""),BE$3,'EBA2017'!BE53)</f>
        <v>23</v>
      </c>
      <c r="BF53" s="4">
        <f>IF(AND($C$4=$A53,BF$3&lt;&gt;""),BF$3,'EBA2017'!BF53)</f>
        <v>16.5</v>
      </c>
      <c r="BG53" s="30">
        <f t="shared" si="10"/>
        <v>1</v>
      </c>
      <c r="BH53" s="31">
        <f t="shared" si="11"/>
        <v>100</v>
      </c>
      <c r="BI53" s="4">
        <f>IF(AND($C$4=$A53,BI$3&lt;&gt;""),BI$3,'EBA2017'!BI53)</f>
        <v>9</v>
      </c>
    </row>
    <row r="54" spans="1:61" x14ac:dyDescent="0.2">
      <c r="A54" s="2" t="s">
        <v>112</v>
      </c>
      <c r="B54" s="3" t="s">
        <v>113</v>
      </c>
      <c r="C54" s="3" t="s">
        <v>7</v>
      </c>
      <c r="D54" s="3" t="s">
        <v>8</v>
      </c>
      <c r="E54" s="3" t="s">
        <v>25</v>
      </c>
      <c r="F54" s="3" t="s">
        <v>162</v>
      </c>
      <c r="G54" s="3" t="s">
        <v>163</v>
      </c>
      <c r="H54" s="30">
        <f t="shared" si="1"/>
        <v>18</v>
      </c>
      <c r="I54" s="31">
        <f>VLOOKUP($A54,'Seed Base Calc'!$A:$S,19,FALSE)</f>
        <v>68.414487726787627</v>
      </c>
      <c r="J54" s="4">
        <f>IF(AND($C$4=$A54,J$3&lt;&gt;""),J$3,'EBA2017'!J54)</f>
        <v>9</v>
      </c>
      <c r="K54" s="4">
        <f>IF(AND($C$4=$A54,K$3&lt;&gt;""),K$3,'EBA2017'!K54)</f>
        <v>7</v>
      </c>
      <c r="L54" s="4">
        <f>IF(AND($C$4=$A54,L$3&lt;&gt;""),L$3,'EBA2017'!L54)</f>
        <v>4</v>
      </c>
      <c r="M54" s="12">
        <f>IF(AND($C$4=$A54,M$3&lt;&gt;""),M$3,'EBA2017'!M54)</f>
        <v>716</v>
      </c>
      <c r="N54" s="4">
        <f>IF(AND($C$4=$A54,N$3&lt;&gt;""),N$3,'EBA2017'!N54)</f>
        <v>0</v>
      </c>
      <c r="O54" s="30">
        <f t="shared" si="2"/>
        <v>19</v>
      </c>
      <c r="P54" s="31">
        <f>VLOOKUP($A54,'Fert Base Calc'!$A:$S,19,FALSE)</f>
        <v>69.17653385451105</v>
      </c>
      <c r="Q54" s="4">
        <f>IF(AND($C$4=$A54,Q$3&lt;&gt;""),Q$3,'EBA2017'!Q54)</f>
        <v>4.8</v>
      </c>
      <c r="R54" s="4">
        <f>IF(AND($C$4=$A54,R$3&lt;&gt;""),R$3,'EBA2017'!R54)</f>
        <v>3</v>
      </c>
      <c r="S54" s="4">
        <f>IF(AND($C$4=$A54,S$3&lt;&gt;""),S$3,'EBA2017'!S54)</f>
        <v>6</v>
      </c>
      <c r="T54" s="12">
        <f>IF(AND($C$4=$A54,T$3&lt;&gt;""),T$3,'EBA2017'!T54)</f>
        <v>330</v>
      </c>
      <c r="U54" s="4">
        <f>IF(AND($C$4=$A54,U$3&lt;&gt;""),U$3,'EBA2017'!U54)</f>
        <v>59.586683385016059</v>
      </c>
      <c r="V54" s="30">
        <f t="shared" si="3"/>
        <v>12</v>
      </c>
      <c r="W54" s="31">
        <f>VLOOKUP($A54,'Mech Base Calc'!$A:$Z,24,FALSE)</f>
        <v>69.081131989787735</v>
      </c>
      <c r="X54" s="4">
        <f>IF(AND($C$4=$A54,X$3&lt;&gt;""),X$3,'EBA2017'!X54)</f>
        <v>3</v>
      </c>
      <c r="Y54" s="4">
        <f>IF(AND($C$4=$A54,Y$3&lt;&gt;""),Y$3,'EBA2017'!Y54)</f>
        <v>6.1666666666666661</v>
      </c>
      <c r="Z54" s="4">
        <f>IF(AND($C$4=$A54,Z$3&lt;&gt;""),Z$3,'EBA2017'!Z54)</f>
        <v>5</v>
      </c>
      <c r="AA54" s="12">
        <f>IF(AND($C$4=$A54,AA$3&lt;&gt;""),AA$3,'EBA2017'!AA54)</f>
        <v>189</v>
      </c>
      <c r="AB54" s="4">
        <f>IF(AND($C$4=$A54,AB$3&lt;&gt;""),AB$3,'EBA2017'!AB54)</f>
        <v>558.6251567345256</v>
      </c>
      <c r="AC54" s="12">
        <f>IF(AND($C$4=$A54,AC$3&lt;&gt;""),AC$3,'EBA2017'!AC54)</f>
        <v>5</v>
      </c>
      <c r="AD54" s="4">
        <f>IF(AND($C$4=$A54,AD$3&lt;&gt;""),AD$3,'EBA2017'!AD54)</f>
        <v>0.43758970610871162</v>
      </c>
      <c r="AE54" s="30">
        <f t="shared" si="4"/>
        <v>38</v>
      </c>
      <c r="AF54" s="31">
        <f>100*AVERAGE(IF(VLOOKUP(A54,'Data Gaps'!A:O,15,FALSE)="X",Calculator!AH54/4,AVERAGE(AG54/5,AH54/4)),AVERAGE(AI54/5,AJ54/8),IF(VLOOKUP(A54,'Data Gaps'!A:O,15,FALSE)="X",Calculator!AL54/7,AVERAGE(AK54/7,AL54/7)))</f>
        <v>45.773809523809518</v>
      </c>
      <c r="AG54" s="4">
        <f>IF(AND($C$4=$A54,AG$3&lt;&gt;""),AG$3,'EBA2017'!AG54)</f>
        <v>3.625</v>
      </c>
      <c r="AH54" s="4">
        <f>IF(AND($C$4=$A54,AH$3&lt;&gt;""),AH$3,'EBA2017'!AH54)</f>
        <v>1</v>
      </c>
      <c r="AI54" s="4">
        <f>IF(AND($C$4=$A54,AI$3&lt;&gt;""),AI$3,'EBA2017'!AI54)</f>
        <v>3.5</v>
      </c>
      <c r="AJ54" s="4">
        <f>IF(AND($C$4=$A54,AJ$3&lt;&gt;""),AJ$3,'EBA2017'!AJ54)</f>
        <v>4</v>
      </c>
      <c r="AK54" s="4">
        <f>IF(AND($C$4=$A54,AK$3&lt;&gt;""),AK$3,'EBA2017'!AK54)</f>
        <v>0</v>
      </c>
      <c r="AL54" s="4">
        <f>IF(AND($C$4=$A54,AL$3&lt;&gt;""),AL$3,'EBA2017'!AL54)</f>
        <v>4</v>
      </c>
      <c r="AM54" s="30">
        <f t="shared" si="5"/>
        <v>18</v>
      </c>
      <c r="AN54" s="31">
        <f>VLOOKUP($A54,'Mark Base Calc'!$A:$Z,21,FALSE)</f>
        <v>68.111196429992447</v>
      </c>
      <c r="AO54" s="4">
        <f>IF(AND($C$4=$A54,AO$3&lt;&gt;""),AO$3,'EBA2017'!AO54)</f>
        <v>7.8</v>
      </c>
      <c r="AP54" s="4">
        <f>IF(AND($C$4=$A54,AP$3&lt;&gt;""),AP$3,'EBA2017'!AP54)</f>
        <v>6.5</v>
      </c>
      <c r="AQ54" s="4">
        <f>IF(AND($C$4=$A54,AQ$3&lt;&gt;""),AQ$3,'EBA2017'!AQ54)</f>
        <v>7</v>
      </c>
      <c r="AR54" s="12">
        <f>IF(AND($C$4=$A54,AR$3&lt;&gt;""),AR$3,'EBA2017'!AR54)</f>
        <v>4</v>
      </c>
      <c r="AS54" s="12">
        <f>IF(AND($C$4=$A54,AS$3&lt;&gt;""),AS$3,'EBA2017'!AS54)</f>
        <v>4</v>
      </c>
      <c r="AT54" s="4">
        <f>IF(AND($C$4=$A54,AT$3&lt;&gt;""),AT$3,'EBA2017'!AT54)</f>
        <v>0.17727038307042275</v>
      </c>
      <c r="AU54" s="30">
        <f t="shared" si="6"/>
        <v>38</v>
      </c>
      <c r="AV54" s="31">
        <f t="shared" si="7"/>
        <v>47.209249448747684</v>
      </c>
      <c r="AW54" s="4">
        <f>IF(AND($C$4=$A54,AW$3&lt;&gt;""),AW$3,'EBA2017'!AW54)</f>
        <v>3.6666666666666661</v>
      </c>
      <c r="AX54" s="4" t="str">
        <f>IF(AND($C$4=$A54,AX$3&lt;&gt;""),AX$3,'EBA2017'!AX54)</f>
        <v>N/A</v>
      </c>
      <c r="AY54" s="4" t="str">
        <f>IF(AND($C$4=$A54,AY$3&lt;&gt;""),AY$3,'EBA2017'!AY54)</f>
        <v>N/A</v>
      </c>
      <c r="AZ54" s="4">
        <f>IF(AND($C$4=$A54,AZ$3&lt;&gt;""),AZ$3,'EBA2017'!AZ54)</f>
        <v>5</v>
      </c>
      <c r="BA54" s="12">
        <f>IF(AND($C$4=$A54,BA$3&lt;&gt;""),BA$3,'EBA2017'!BA54)</f>
        <v>1</v>
      </c>
      <c r="BB54" s="4">
        <f>IF(AND($C$4=$A54,BB$3&lt;&gt;""),BB$3,'EBA2017'!BB54)</f>
        <v>6.2621880069940322E-2</v>
      </c>
      <c r="BC54" s="30">
        <f t="shared" si="8"/>
        <v>15</v>
      </c>
      <c r="BD54" s="31">
        <f t="shared" si="9"/>
        <v>70.732758620689665</v>
      </c>
      <c r="BE54" s="4">
        <f>IF(AND($C$4=$A54,BE$3&lt;&gt;""),BE$3,'EBA2017'!BE54)</f>
        <v>20</v>
      </c>
      <c r="BF54" s="4">
        <f>IF(AND($C$4=$A54,BF$3&lt;&gt;""),BF$3,'EBA2017'!BF54)</f>
        <v>14.5</v>
      </c>
      <c r="BG54" s="30">
        <f t="shared" si="10"/>
        <v>15</v>
      </c>
      <c r="BH54" s="31">
        <f t="shared" si="11"/>
        <v>72.222222222222214</v>
      </c>
      <c r="BI54" s="4">
        <f>IF(AND($C$4=$A54,BI$3&lt;&gt;""),BI$3,'EBA2017'!BI54)</f>
        <v>6.4999999999999991</v>
      </c>
    </row>
    <row r="55" spans="1:61" x14ac:dyDescent="0.2">
      <c r="A55" s="2" t="s">
        <v>114</v>
      </c>
      <c r="B55" s="3" t="s">
        <v>115</v>
      </c>
      <c r="C55" s="3" t="s">
        <v>16</v>
      </c>
      <c r="D55" s="3" t="s">
        <v>17</v>
      </c>
      <c r="E55" s="3" t="s">
        <v>18</v>
      </c>
      <c r="F55" s="3" t="s">
        <v>160</v>
      </c>
      <c r="G55" s="3" t="s">
        <v>163</v>
      </c>
      <c r="H55" s="30">
        <f t="shared" si="1"/>
        <v>60</v>
      </c>
      <c r="I55" s="31">
        <f>VLOOKUP($A55,'Seed Base Calc'!$A:$S,19,FALSE)</f>
        <v>20.208333333333332</v>
      </c>
      <c r="J55" s="4">
        <f>IF(AND($C$4=$A55,J$3&lt;&gt;""),J$3,'EBA2017'!J55)</f>
        <v>6</v>
      </c>
      <c r="K55" s="4">
        <f>IF(AND($C$4=$A55,K$3&lt;&gt;""),K$3,'EBA2017'!K55)</f>
        <v>1</v>
      </c>
      <c r="L55" s="4">
        <f>IF(AND($C$4=$A55,L$3&lt;&gt;""),L$3,'EBA2017'!L55)</f>
        <v>1</v>
      </c>
      <c r="M55" s="12" t="str">
        <f>IF(AND($C$4=$A55,M$3&lt;&gt;""),M$3,'EBA2017'!M55)</f>
        <v>No practice</v>
      </c>
      <c r="N55" s="4" t="str">
        <f>IF(AND($C$4=$A55,N$3&lt;&gt;""),N$3,'EBA2017'!N55)</f>
        <v>No practice</v>
      </c>
      <c r="O55" s="30">
        <f t="shared" si="2"/>
        <v>38</v>
      </c>
      <c r="P55" s="31">
        <f>VLOOKUP($A55,'Fert Base Calc'!$A:$S,19,FALSE)</f>
        <v>52.582211711364209</v>
      </c>
      <c r="Q55" s="4">
        <f>IF(AND($C$4=$A55,Q$3&lt;&gt;""),Q$3,'EBA2017'!Q55)</f>
        <v>1.9</v>
      </c>
      <c r="R55" s="4">
        <f>IF(AND($C$4=$A55,R$3&lt;&gt;""),R$3,'EBA2017'!R55)</f>
        <v>4</v>
      </c>
      <c r="S55" s="4">
        <f>IF(AND($C$4=$A55,S$3&lt;&gt;""),S$3,'EBA2017'!S55)</f>
        <v>4.5000000000000009</v>
      </c>
      <c r="T55" s="12">
        <f>IF(AND($C$4=$A55,T$3&lt;&gt;""),T$3,'EBA2017'!T55)</f>
        <v>730</v>
      </c>
      <c r="U55" s="4">
        <f>IF(AND($C$4=$A55,U$3&lt;&gt;""),U$3,'EBA2017'!U55)</f>
        <v>2.0225820039564324</v>
      </c>
      <c r="V55" s="30">
        <f t="shared" si="3"/>
        <v>41</v>
      </c>
      <c r="W55" s="31">
        <f>VLOOKUP($A55,'Mech Base Calc'!$A:$Z,24,FALSE)</f>
        <v>43.365384615384613</v>
      </c>
      <c r="X55" s="4">
        <f>IF(AND($C$4=$A55,X$3&lt;&gt;""),X$3,'EBA2017'!X55)</f>
        <v>2.5</v>
      </c>
      <c r="Y55" s="4">
        <f>IF(AND($C$4=$A55,Y$3&lt;&gt;""),Y$3,'EBA2017'!Y55)</f>
        <v>1.5</v>
      </c>
      <c r="Z55" s="4">
        <f>IF(AND($C$4=$A55,Z$3&lt;&gt;""),Z$3,'EBA2017'!Z55)</f>
        <v>5</v>
      </c>
      <c r="AA55" s="12" t="str">
        <f>IF(AND($C$4=$A55,AA$3&lt;&gt;""),AA$3,'EBA2017'!AA55)</f>
        <v>N/A</v>
      </c>
      <c r="AB55" s="4" t="str">
        <f>IF(AND($C$4=$A55,AB$3&lt;&gt;""),AB$3,'EBA2017'!AB55)</f>
        <v>N/A</v>
      </c>
      <c r="AC55" s="12">
        <f>IF(AND($C$4=$A55,AC$3&lt;&gt;""),AC$3,'EBA2017'!AC55)</f>
        <v>2</v>
      </c>
      <c r="AD55" s="4">
        <f>IF(AND($C$4=$A55,AD$3&lt;&gt;""),AD$3,'EBA2017'!AD55)</f>
        <v>153.71623230068886</v>
      </c>
      <c r="AE55" s="30">
        <f t="shared" si="4"/>
        <v>7</v>
      </c>
      <c r="AF55" s="31">
        <f>100*AVERAGE(IF(VLOOKUP(A55,'Data Gaps'!A:O,15,FALSE)="X",Calculator!AH55/4,AVERAGE(AG55/5,AH55/4)),AVERAGE(AI55/5,AJ55/8),IF(VLOOKUP(A55,'Data Gaps'!A:O,15,FALSE)="X",Calculator!AL55/7,AVERAGE(AK55/7,AL55/7)))</f>
        <v>80.628968253968253</v>
      </c>
      <c r="AG55" s="4">
        <f>IF(AND($C$4=$A55,AG$3&lt;&gt;""),AG$3,'EBA2017'!AG55)</f>
        <v>3.65</v>
      </c>
      <c r="AH55" s="4">
        <f>IF(AND($C$4=$A55,AH$3&lt;&gt;""),AH$3,'EBA2017'!AH55)</f>
        <v>3.9166666666666661</v>
      </c>
      <c r="AI55" s="4">
        <f>IF(AND($C$4=$A55,AI$3&lt;&gt;""),AI$3,'EBA2017'!AI55)</f>
        <v>3.5</v>
      </c>
      <c r="AJ55" s="4">
        <f>IF(AND($C$4=$A55,AJ$3&lt;&gt;""),AJ$3,'EBA2017'!AJ55)</f>
        <v>8</v>
      </c>
      <c r="AK55" s="4">
        <f>IF(AND($C$4=$A55,AK$3&lt;&gt;""),AK$3,'EBA2017'!AK55)</f>
        <v>5</v>
      </c>
      <c r="AL55" s="4">
        <f>IF(AND($C$4=$A55,AL$3&lt;&gt;""),AL$3,'EBA2017'!AL55)</f>
        <v>5</v>
      </c>
      <c r="AM55" s="30">
        <f t="shared" si="5"/>
        <v>47</v>
      </c>
      <c r="AN55" s="31">
        <f>VLOOKUP($A55,'Mark Base Calc'!$A:$Z,21,FALSE)</f>
        <v>49.29824099700236</v>
      </c>
      <c r="AO55" s="4">
        <f>IF(AND($C$4=$A55,AO$3&lt;&gt;""),AO$3,'EBA2017'!AO55)</f>
        <v>9</v>
      </c>
      <c r="AP55" s="4">
        <f>IF(AND($C$4=$A55,AP$3&lt;&gt;""),AP$3,'EBA2017'!AP55)</f>
        <v>0.5</v>
      </c>
      <c r="AQ55" s="4">
        <f>IF(AND($C$4=$A55,AQ$3&lt;&gt;""),AQ$3,'EBA2017'!AQ55)</f>
        <v>3</v>
      </c>
      <c r="AR55" s="12">
        <f>IF(AND($C$4=$A55,AR$3&lt;&gt;""),AR$3,'EBA2017'!AR55)</f>
        <v>1</v>
      </c>
      <c r="AS55" s="12">
        <f>IF(AND($C$4=$A55,AS$3&lt;&gt;""),AS$3,'EBA2017'!AS55)</f>
        <v>1</v>
      </c>
      <c r="AT55" s="4">
        <f>IF(AND($C$4=$A55,AT$3&lt;&gt;""),AT$3,'EBA2017'!AT55)</f>
        <v>4.0451640079128652E-2</v>
      </c>
      <c r="AU55" s="30">
        <f t="shared" si="6"/>
        <v>27</v>
      </c>
      <c r="AV55" s="31">
        <f t="shared" si="7"/>
        <v>62.697083036744559</v>
      </c>
      <c r="AW55" s="4">
        <f>IF(AND($C$4=$A55,AW$3&lt;&gt;""),AW$3,'EBA2017'!AW55)</f>
        <v>5</v>
      </c>
      <c r="AX55" s="4">
        <f>IF(AND($C$4=$A55,AX$3&lt;&gt;""),AX$3,'EBA2017'!AX55)</f>
        <v>7</v>
      </c>
      <c r="AY55" s="4">
        <f>IF(AND($C$4=$A55,AY$3&lt;&gt;""),AY$3,'EBA2017'!AY55)</f>
        <v>21.516227358088528</v>
      </c>
      <c r="AZ55" s="4">
        <f>IF(AND($C$4=$A55,AZ$3&lt;&gt;""),AZ$3,'EBA2017'!AZ55)</f>
        <v>5.9999999999999991</v>
      </c>
      <c r="BA55" s="12">
        <f>IF(AND($C$4=$A55,BA$3&lt;&gt;""),BA$3,'EBA2017'!BA55)</f>
        <v>1</v>
      </c>
      <c r="BB55" s="4">
        <f>IF(AND($C$4=$A55,BB$3&lt;&gt;""),BB$3,'EBA2017'!BB55)</f>
        <v>28.571428571428569</v>
      </c>
      <c r="BC55" s="30">
        <f t="shared" si="8"/>
        <v>32</v>
      </c>
      <c r="BD55" s="31">
        <f t="shared" si="9"/>
        <v>50</v>
      </c>
      <c r="BE55" s="4">
        <f>IF(AND($C$4=$A55,BE$3&lt;&gt;""),BE$3,'EBA2017'!BE55)</f>
        <v>14.5</v>
      </c>
      <c r="BF55" s="4">
        <f>IF(AND($C$4=$A55,BF$3&lt;&gt;""),BF$3,'EBA2017'!BF55)</f>
        <v>10</v>
      </c>
      <c r="BG55" s="30">
        <f t="shared" si="10"/>
        <v>50</v>
      </c>
      <c r="BH55" s="31">
        <f t="shared" si="11"/>
        <v>41.666666666666671</v>
      </c>
      <c r="BI55" s="4">
        <f>IF(AND($C$4=$A55,BI$3&lt;&gt;""),BI$3,'EBA2017'!BI55)</f>
        <v>3.7500000000000004</v>
      </c>
    </row>
    <row r="56" spans="1:61" x14ac:dyDescent="0.2">
      <c r="A56" s="2" t="s">
        <v>116</v>
      </c>
      <c r="B56" s="3" t="s">
        <v>117</v>
      </c>
      <c r="C56" s="3" t="s">
        <v>16</v>
      </c>
      <c r="D56" s="3" t="s">
        <v>17</v>
      </c>
      <c r="E56" s="3" t="s">
        <v>18</v>
      </c>
      <c r="F56" s="3" t="s">
        <v>162</v>
      </c>
      <c r="G56" s="3" t="s">
        <v>163</v>
      </c>
      <c r="H56" s="30">
        <f t="shared" si="1"/>
        <v>36</v>
      </c>
      <c r="I56" s="31">
        <f>VLOOKUP($A56,'Seed Base Calc'!$A:$S,19,FALSE)</f>
        <v>52.798270188545004</v>
      </c>
      <c r="J56" s="4">
        <f>IF(AND($C$4=$A56,J$3&lt;&gt;""),J$3,'EBA2017'!J56)</f>
        <v>7</v>
      </c>
      <c r="K56" s="4">
        <f>IF(AND($C$4=$A56,K$3&lt;&gt;""),K$3,'EBA2017'!K56)</f>
        <v>5.5</v>
      </c>
      <c r="L56" s="4">
        <f>IF(AND($C$4=$A56,L$3&lt;&gt;""),L$3,'EBA2017'!L56)</f>
        <v>5.5</v>
      </c>
      <c r="M56" s="12">
        <f>IF(AND($C$4=$A56,M$3&lt;&gt;""),M$3,'EBA2017'!M56)</f>
        <v>561</v>
      </c>
      <c r="N56" s="4">
        <f>IF(AND($C$4=$A56,N$3&lt;&gt;""),N$3,'EBA2017'!N56)</f>
        <v>708.47686524484971</v>
      </c>
      <c r="O56" s="30">
        <f t="shared" si="2"/>
        <v>60</v>
      </c>
      <c r="P56" s="31">
        <f>VLOOKUP($A56,'Fert Base Calc'!$A:$S,19,FALSE)</f>
        <v>17.857142857142854</v>
      </c>
      <c r="Q56" s="4">
        <f>IF(AND($C$4=$A56,Q$3&lt;&gt;""),Q$3,'EBA2017'!Q56)</f>
        <v>0</v>
      </c>
      <c r="R56" s="4">
        <f>IF(AND($C$4=$A56,R$3&lt;&gt;""),R$3,'EBA2017'!R56)</f>
        <v>1</v>
      </c>
      <c r="S56" s="4">
        <f>IF(AND($C$4=$A56,S$3&lt;&gt;""),S$3,'EBA2017'!S56)</f>
        <v>4</v>
      </c>
      <c r="T56" s="12" t="str">
        <f>IF(AND($C$4=$A56,T$3&lt;&gt;""),T$3,'EBA2017'!T56)</f>
        <v>N/A</v>
      </c>
      <c r="U56" s="4" t="str">
        <f>IF(AND($C$4=$A56,U$3&lt;&gt;""),U$3,'EBA2017'!U56)</f>
        <v>N/A</v>
      </c>
      <c r="V56" s="30">
        <f t="shared" si="3"/>
        <v>54</v>
      </c>
      <c r="W56" s="31">
        <f>VLOOKUP($A56,'Mech Base Calc'!$A:$Z,24,FALSE)</f>
        <v>25.148506094175072</v>
      </c>
      <c r="X56" s="4">
        <f>IF(AND($C$4=$A56,X$3&lt;&gt;""),X$3,'EBA2017'!X56)</f>
        <v>1</v>
      </c>
      <c r="Y56" s="4">
        <f>IF(AND($C$4=$A56,Y$3&lt;&gt;""),Y$3,'EBA2017'!Y56)</f>
        <v>0.33333333333333326</v>
      </c>
      <c r="Z56" s="4">
        <f>IF(AND($C$4=$A56,Z$3&lt;&gt;""),Z$3,'EBA2017'!Z56)</f>
        <v>0.5</v>
      </c>
      <c r="AA56" s="12" t="str">
        <f>IF(AND($C$4=$A56,AA$3&lt;&gt;""),AA$3,'EBA2017'!AA56)</f>
        <v>N/A</v>
      </c>
      <c r="AB56" s="4" t="str">
        <f>IF(AND($C$4=$A56,AB$3&lt;&gt;""),AB$3,'EBA2017'!AB56)</f>
        <v>N/A</v>
      </c>
      <c r="AC56" s="12">
        <f>IF(AND($C$4=$A56,AC$3&lt;&gt;""),AC$3,'EBA2017'!AC56)</f>
        <v>5</v>
      </c>
      <c r="AD56" s="4">
        <f>IF(AND($C$4=$A56,AD$3&lt;&gt;""),AD$3,'EBA2017'!AD56)</f>
        <v>0.56527409461025246</v>
      </c>
      <c r="AE56" s="30">
        <f t="shared" si="4"/>
        <v>41</v>
      </c>
      <c r="AF56" s="31">
        <f>100*AVERAGE(IF(VLOOKUP(A56,'Data Gaps'!A:O,15,FALSE)="X",Calculator!AH56/4,AVERAGE(AG56/5,AH56/4)),AVERAGE(AI56/5,AJ56/8),IF(VLOOKUP(A56,'Data Gaps'!A:O,15,FALSE)="X",Calculator!AL56/7,AVERAGE(AK56/7,AL56/7)))</f>
        <v>43.353174603174608</v>
      </c>
      <c r="AG56" s="4">
        <f>IF(AND($C$4=$A56,AG$3&lt;&gt;""),AG$3,'EBA2017'!AG56)</f>
        <v>0</v>
      </c>
      <c r="AH56" s="4">
        <f>IF(AND($C$4=$A56,AH$3&lt;&gt;""),AH$3,'EBA2017'!AH56)</f>
        <v>3.8333333333333339</v>
      </c>
      <c r="AI56" s="4">
        <f>IF(AND($C$4=$A56,AI$3&lt;&gt;""),AI$3,'EBA2017'!AI56)</f>
        <v>0</v>
      </c>
      <c r="AJ56" s="4">
        <f>IF(AND($C$4=$A56,AJ$3&lt;&gt;""),AJ$3,'EBA2017'!AJ56)</f>
        <v>4</v>
      </c>
      <c r="AK56" s="4">
        <f>IF(AND($C$4=$A56,AK$3&lt;&gt;""),AK$3,'EBA2017'!AK56)</f>
        <v>4</v>
      </c>
      <c r="AL56" s="4">
        <f>IF(AND($C$4=$A56,AL$3&lt;&gt;""),AL$3,'EBA2017'!AL56)</f>
        <v>4</v>
      </c>
      <c r="AM56" s="30">
        <f t="shared" si="5"/>
        <v>36</v>
      </c>
      <c r="AN56" s="31">
        <f>VLOOKUP($A56,'Mark Base Calc'!$A:$Z,21,FALSE)</f>
        <v>54.646682351460242</v>
      </c>
      <c r="AO56" s="4">
        <f>IF(AND($C$4=$A56,AO$3&lt;&gt;""),AO$3,'EBA2017'!AO56)</f>
        <v>7.8</v>
      </c>
      <c r="AP56" s="4">
        <f>IF(AND($C$4=$A56,AP$3&lt;&gt;""),AP$3,'EBA2017'!AP56)</f>
        <v>3.5</v>
      </c>
      <c r="AQ56" s="4">
        <f>IF(AND($C$4=$A56,AQ$3&lt;&gt;""),AQ$3,'EBA2017'!AQ56)</f>
        <v>4</v>
      </c>
      <c r="AR56" s="12">
        <f>IF(AND($C$4=$A56,AR$3&lt;&gt;""),AR$3,'EBA2017'!AR56)</f>
        <v>2</v>
      </c>
      <c r="AS56" s="12">
        <f>IF(AND($C$4=$A56,AS$3&lt;&gt;""),AS$3,'EBA2017'!AS56)</f>
        <v>3</v>
      </c>
      <c r="AT56" s="4">
        <f>IF(AND($C$4=$A56,AT$3&lt;&gt;""),AT$3,'EBA2017'!AT56)</f>
        <v>3.7684939640683495</v>
      </c>
      <c r="AU56" s="30">
        <f t="shared" si="6"/>
        <v>35</v>
      </c>
      <c r="AV56" s="31">
        <f t="shared" si="7"/>
        <v>51.566725686575076</v>
      </c>
      <c r="AW56" s="4">
        <f>IF(AND($C$4=$A56,AW$3&lt;&gt;""),AW$3,'EBA2017'!AW56)</f>
        <v>6.8333333333333321</v>
      </c>
      <c r="AX56" s="4">
        <f>IF(AND($C$4=$A56,AX$3&lt;&gt;""),AX$3,'EBA2017'!AX56)</f>
        <v>12</v>
      </c>
      <c r="AY56" s="4">
        <f>IF(AND($C$4=$A56,AY$3&lt;&gt;""),AY$3,'EBA2017'!AY56)</f>
        <v>2.8263704730512624</v>
      </c>
      <c r="AZ56" s="4">
        <f>IF(AND($C$4=$A56,AZ$3&lt;&gt;""),AZ$3,'EBA2017'!AZ56)</f>
        <v>5</v>
      </c>
      <c r="BA56" s="12" t="str">
        <f>IF(AND($C$4=$A56,BA$3&lt;&gt;""),BA$3,'EBA2017'!BA56)</f>
        <v>No practice</v>
      </c>
      <c r="BB56" s="4" t="str">
        <f>IF(AND($C$4=$A56,BB$3&lt;&gt;""),BB$3,'EBA2017'!BB56)</f>
        <v>No practice</v>
      </c>
      <c r="BC56" s="30">
        <f t="shared" si="8"/>
        <v>42</v>
      </c>
      <c r="BD56" s="31">
        <f t="shared" si="9"/>
        <v>35.732758620689651</v>
      </c>
      <c r="BE56" s="4">
        <f>IF(AND($C$4=$A56,BE$3&lt;&gt;""),BE$3,'EBA2017'!BE56)</f>
        <v>5.5</v>
      </c>
      <c r="BF56" s="4">
        <f>IF(AND($C$4=$A56,BF$3&lt;&gt;""),BF$3,'EBA2017'!BF56)</f>
        <v>10.5</v>
      </c>
      <c r="BG56" s="30">
        <f t="shared" si="10"/>
        <v>37</v>
      </c>
      <c r="BH56" s="31">
        <f t="shared" si="11"/>
        <v>50</v>
      </c>
      <c r="BI56" s="4">
        <f>IF(AND($C$4=$A56,BI$3&lt;&gt;""),BI$3,'EBA2017'!BI56)</f>
        <v>4.5</v>
      </c>
    </row>
    <row r="57" spans="1:61" x14ac:dyDescent="0.2">
      <c r="A57" s="2" t="s">
        <v>118</v>
      </c>
      <c r="B57" s="3" t="s">
        <v>119</v>
      </c>
      <c r="C57" s="3" t="s">
        <v>7</v>
      </c>
      <c r="D57" s="3" t="s">
        <v>8</v>
      </c>
      <c r="E57" s="3" t="s">
        <v>25</v>
      </c>
      <c r="F57" s="3" t="s">
        <v>162</v>
      </c>
      <c r="G57" s="3" t="s">
        <v>163</v>
      </c>
      <c r="H57" s="30">
        <f t="shared" si="1"/>
        <v>19</v>
      </c>
      <c r="I57" s="31">
        <f>VLOOKUP($A57,'Seed Base Calc'!$A:$S,19,FALSE)</f>
        <v>68.384823698748178</v>
      </c>
      <c r="J57" s="4">
        <f>IF(AND($C$4=$A57,J$3&lt;&gt;""),J$3,'EBA2017'!J57)</f>
        <v>8</v>
      </c>
      <c r="K57" s="4">
        <f>IF(AND($C$4=$A57,K$3&lt;&gt;""),K$3,'EBA2017'!K57)</f>
        <v>5</v>
      </c>
      <c r="L57" s="4">
        <f>IF(AND($C$4=$A57,L$3&lt;&gt;""),L$3,'EBA2017'!L57)</f>
        <v>7</v>
      </c>
      <c r="M57" s="12">
        <f>IF(AND($C$4=$A57,M$3&lt;&gt;""),M$3,'EBA2017'!M57)</f>
        <v>604</v>
      </c>
      <c r="N57" s="4">
        <f>IF(AND($C$4=$A57,N$3&lt;&gt;""),N$3,'EBA2017'!N57)</f>
        <v>0.4267664067557228</v>
      </c>
      <c r="O57" s="30">
        <f t="shared" si="2"/>
        <v>4</v>
      </c>
      <c r="P57" s="31">
        <f>VLOOKUP($A57,'Fert Base Calc'!$A:$S,19,FALSE)</f>
        <v>91.918523631874407</v>
      </c>
      <c r="Q57" s="4">
        <f>IF(AND($C$4=$A57,Q$3&lt;&gt;""),Q$3,'EBA2017'!Q57)</f>
        <v>5.7999999999999989</v>
      </c>
      <c r="R57" s="4">
        <f>IF(AND($C$4=$A57,R$3&lt;&gt;""),R$3,'EBA2017'!R57)</f>
        <v>6</v>
      </c>
      <c r="S57" s="4">
        <f>IF(AND($C$4=$A57,S$3&lt;&gt;""),S$3,'EBA2017'!S57)</f>
        <v>7</v>
      </c>
      <c r="T57" s="12">
        <f>IF(AND($C$4=$A57,T$3&lt;&gt;""),T$3,'EBA2017'!T57)</f>
        <v>22</v>
      </c>
      <c r="U57" s="4">
        <f>IF(AND($C$4=$A57,U$3&lt;&gt;""),U$3,'EBA2017'!U57)</f>
        <v>5.3129597598752092</v>
      </c>
      <c r="V57" s="30">
        <f t="shared" si="3"/>
        <v>2</v>
      </c>
      <c r="W57" s="31">
        <f>VLOOKUP($A57,'Mech Base Calc'!$A:$Z,24,FALSE)</f>
        <v>89.111354045218718</v>
      </c>
      <c r="X57" s="4">
        <f>IF(AND($C$4=$A57,X$3&lt;&gt;""),X$3,'EBA2017'!X57)</f>
        <v>3</v>
      </c>
      <c r="Y57" s="4">
        <f>IF(AND($C$4=$A57,Y$3&lt;&gt;""),Y$3,'EBA2017'!Y57)</f>
        <v>8</v>
      </c>
      <c r="Z57" s="4">
        <f>IF(AND($C$4=$A57,Z$3&lt;&gt;""),Z$3,'EBA2017'!Z57)</f>
        <v>5</v>
      </c>
      <c r="AA57" s="12">
        <f>IF(AND($C$4=$A57,AA$3&lt;&gt;""),AA$3,'EBA2017'!AA57)</f>
        <v>30</v>
      </c>
      <c r="AB57" s="4">
        <f>IF(AND($C$4=$A57,AB$3&lt;&gt;""),AB$3,'EBA2017'!AB57)</f>
        <v>2.6715201057263527</v>
      </c>
      <c r="AC57" s="12">
        <f>IF(AND($C$4=$A57,AC$3&lt;&gt;""),AC$3,'EBA2017'!AC57)</f>
        <v>2</v>
      </c>
      <c r="AD57" s="4">
        <f>IF(AND($C$4=$A57,AD$3&lt;&gt;""),AD$3,'EBA2017'!AD57)</f>
        <v>5.6400846707804781</v>
      </c>
      <c r="AE57" s="30">
        <f t="shared" si="4"/>
        <v>40</v>
      </c>
      <c r="AF57" s="31">
        <f>100*AVERAGE(IF(VLOOKUP(A57,'Data Gaps'!A:O,15,FALSE)="X",Calculator!AH57/4,AVERAGE(AG57/5,AH57/4)),AVERAGE(AI57/5,AJ57/8),IF(VLOOKUP(A57,'Data Gaps'!A:O,15,FALSE)="X",Calculator!AL57/7,AVERAGE(AK57/7,AL57/7)))</f>
        <v>43.75</v>
      </c>
      <c r="AG57" s="4">
        <f>IF(AND($C$4=$A57,AG$3&lt;&gt;""),AG$3,'EBA2017'!AG57)</f>
        <v>0</v>
      </c>
      <c r="AH57" s="4">
        <f>IF(AND($C$4=$A57,AH$3&lt;&gt;""),AH$3,'EBA2017'!AH57)</f>
        <v>4</v>
      </c>
      <c r="AI57" s="4">
        <f>IF(AND($C$4=$A57,AI$3&lt;&gt;""),AI$3,'EBA2017'!AI57)</f>
        <v>5</v>
      </c>
      <c r="AJ57" s="4">
        <f>IF(AND($C$4=$A57,AJ$3&lt;&gt;""),AJ$3,'EBA2017'!AJ57)</f>
        <v>5</v>
      </c>
      <c r="AK57" s="4">
        <f>IF(AND($C$4=$A57,AK$3&lt;&gt;""),AK$3,'EBA2017'!AK57)</f>
        <v>0</v>
      </c>
      <c r="AL57" s="4">
        <f>IF(AND($C$4=$A57,AL$3&lt;&gt;""),AL$3,'EBA2017'!AL57)</f>
        <v>0</v>
      </c>
      <c r="AM57" s="30">
        <f t="shared" si="5"/>
        <v>8</v>
      </c>
      <c r="AN57" s="31">
        <f>VLOOKUP($A57,'Mark Base Calc'!$A:$Z,21,FALSE)</f>
        <v>76.803496256349462</v>
      </c>
      <c r="AO57" s="4">
        <f>IF(AND($C$4=$A57,AO$3&lt;&gt;""),AO$3,'EBA2017'!AO57)</f>
        <v>7</v>
      </c>
      <c r="AP57" s="4">
        <f>IF(AND($C$4=$A57,AP$3&lt;&gt;""),AP$3,'EBA2017'!AP57)</f>
        <v>7</v>
      </c>
      <c r="AQ57" s="4">
        <f>IF(AND($C$4=$A57,AQ$3&lt;&gt;""),AQ$3,'EBA2017'!AQ57)</f>
        <v>6.5</v>
      </c>
      <c r="AR57" s="12">
        <f>IF(AND($C$4=$A57,AR$3&lt;&gt;""),AR$3,'EBA2017'!AR57)</f>
        <v>1</v>
      </c>
      <c r="AS57" s="12">
        <f>IF(AND($C$4=$A57,AS$3&lt;&gt;""),AS$3,'EBA2017'!AS57)</f>
        <v>2</v>
      </c>
      <c r="AT57" s="4">
        <f>IF(AND($C$4=$A57,AT$3&lt;&gt;""),AT$3,'EBA2017'!AT57)</f>
        <v>0.15524333056323264</v>
      </c>
      <c r="AU57" s="30">
        <f t="shared" si="6"/>
        <v>13</v>
      </c>
      <c r="AV57" s="31">
        <f t="shared" si="7"/>
        <v>71.968046583124206</v>
      </c>
      <c r="AW57" s="4">
        <f>IF(AND($C$4=$A57,AW$3&lt;&gt;""),AW$3,'EBA2017'!AW57)</f>
        <v>6.5</v>
      </c>
      <c r="AX57" s="4">
        <f>IF(AND($C$4=$A57,AX$3&lt;&gt;""),AX$3,'EBA2017'!AX57)</f>
        <v>30</v>
      </c>
      <c r="AY57" s="4">
        <f>IF(AND($C$4=$A57,AY$3&lt;&gt;""),AY$3,'EBA2017'!AY57)</f>
        <v>1.6093041593960293</v>
      </c>
      <c r="AZ57" s="4">
        <f>IF(AND($C$4=$A57,AZ$3&lt;&gt;""),AZ$3,'EBA2017'!AZ57)</f>
        <v>7.0000000000000009</v>
      </c>
      <c r="BA57" s="12">
        <f>IF(AND($C$4=$A57,BA$3&lt;&gt;""),BA$3,'EBA2017'!BA57)</f>
        <v>30</v>
      </c>
      <c r="BB57" s="4">
        <f>IF(AND($C$4=$A57,BB$3&lt;&gt;""),BB$3,'EBA2017'!BB57)</f>
        <v>4.263904011110041</v>
      </c>
      <c r="BC57" s="30">
        <f t="shared" si="8"/>
        <v>14</v>
      </c>
      <c r="BD57" s="31">
        <f t="shared" si="9"/>
        <v>72.931034482758619</v>
      </c>
      <c r="BE57" s="4">
        <f>IF(AND($C$4=$A57,BE$3&lt;&gt;""),BE$3,'EBA2017'!BE57)</f>
        <v>22</v>
      </c>
      <c r="BF57" s="4">
        <f>IF(AND($C$4=$A57,BF$3&lt;&gt;""),BF$3,'EBA2017'!BF57)</f>
        <v>14</v>
      </c>
      <c r="BG57" s="30">
        <f t="shared" si="10"/>
        <v>12</v>
      </c>
      <c r="BH57" s="31">
        <f t="shared" si="11"/>
        <v>77.777777777777786</v>
      </c>
      <c r="BI57" s="4">
        <f>IF(AND($C$4=$A57,BI$3&lt;&gt;""),BI$3,'EBA2017'!BI57)</f>
        <v>7.0000000000000009</v>
      </c>
    </row>
    <row r="58" spans="1:61" x14ac:dyDescent="0.2">
      <c r="A58" s="2" t="s">
        <v>120</v>
      </c>
      <c r="B58" s="3" t="s">
        <v>121</v>
      </c>
      <c r="C58" s="3" t="s">
        <v>38</v>
      </c>
      <c r="D58" s="3" t="s">
        <v>39</v>
      </c>
      <c r="E58" s="3" t="s">
        <v>40</v>
      </c>
      <c r="F58" s="3" t="s">
        <v>159</v>
      </c>
      <c r="G58" s="3" t="s">
        <v>163</v>
      </c>
      <c r="H58" s="30">
        <f t="shared" si="1"/>
        <v>2</v>
      </c>
      <c r="I58" s="31">
        <f>VLOOKUP($A58,'Seed Base Calc'!$A:$S,19,FALSE)</f>
        <v>86.648137404530132</v>
      </c>
      <c r="J58" s="4">
        <f>IF(AND($C$4=$A58,J$3&lt;&gt;""),J$3,'EBA2017'!J58)</f>
        <v>10</v>
      </c>
      <c r="K58" s="4">
        <f>IF(AND($C$4=$A58,K$3&lt;&gt;""),K$3,'EBA2017'!K58)</f>
        <v>6</v>
      </c>
      <c r="L58" s="4">
        <f>IF(AND($C$4=$A58,L$3&lt;&gt;""),L$3,'EBA2017'!L58)</f>
        <v>12</v>
      </c>
      <c r="M58" s="12">
        <f>IF(AND($C$4=$A58,M$3&lt;&gt;""),M$3,'EBA2017'!M58)</f>
        <v>598</v>
      </c>
      <c r="N58" s="4">
        <f>IF(AND($C$4=$A58,N$3&lt;&gt;""),N$3,'EBA2017'!N58)</f>
        <v>9.2655549893308446</v>
      </c>
      <c r="O58" s="30">
        <f t="shared" si="2"/>
        <v>5</v>
      </c>
      <c r="P58" s="31">
        <f>VLOOKUP($A58,'Fert Base Calc'!$A:$S,19,FALSE)</f>
        <v>91.095667323132858</v>
      </c>
      <c r="Q58" s="4">
        <f>IF(AND($C$4=$A58,Q$3&lt;&gt;""),Q$3,'EBA2017'!Q58)</f>
        <v>5.7999999999999989</v>
      </c>
      <c r="R58" s="4">
        <f>IF(AND($C$4=$A58,R$3&lt;&gt;""),R$3,'EBA2017'!R58)</f>
        <v>7</v>
      </c>
      <c r="S58" s="4">
        <f>IF(AND($C$4=$A58,S$3&lt;&gt;""),S$3,'EBA2017'!S58)</f>
        <v>6</v>
      </c>
      <c r="T58" s="12">
        <f>IF(AND($C$4=$A58,T$3&lt;&gt;""),T$3,'EBA2017'!T58)</f>
        <v>90</v>
      </c>
      <c r="U58" s="4">
        <f>IF(AND($C$4=$A58,U$3&lt;&gt;""),U$3,'EBA2017'!U58)</f>
        <v>0</v>
      </c>
      <c r="V58" s="30">
        <f t="shared" si="3"/>
        <v>6</v>
      </c>
      <c r="W58" s="31">
        <f>VLOOKUP($A58,'Mech Base Calc'!$A:$Z,24,FALSE)</f>
        <v>83.226813095211753</v>
      </c>
      <c r="X58" s="4">
        <f>IF(AND($C$4=$A58,X$3&lt;&gt;""),X$3,'EBA2017'!X58)</f>
        <v>4.5</v>
      </c>
      <c r="Y58" s="4">
        <f>IF(AND($C$4=$A58,Y$3&lt;&gt;""),Y$3,'EBA2017'!Y58)</f>
        <v>7</v>
      </c>
      <c r="Z58" s="4">
        <f>IF(AND($C$4=$A58,Z$3&lt;&gt;""),Z$3,'EBA2017'!Z58)</f>
        <v>5</v>
      </c>
      <c r="AA58" s="12">
        <f>IF(AND($C$4=$A58,AA$3&lt;&gt;""),AA$3,'EBA2017'!AA58)</f>
        <v>451</v>
      </c>
      <c r="AB58" s="4">
        <f>IF(AND($C$4=$A58,AB$3&lt;&gt;""),AB$3,'EBA2017'!AB58)</f>
        <v>32.234146513647268</v>
      </c>
      <c r="AC58" s="12">
        <f>IF(AND($C$4=$A58,AC$3&lt;&gt;""),AC$3,'EBA2017'!AC58)</f>
        <v>5</v>
      </c>
      <c r="AD58" s="4">
        <f>IF(AND($C$4=$A58,AD$3&lt;&gt;""),AD$3,'EBA2017'!AD58)</f>
        <v>0.64468293027294532</v>
      </c>
      <c r="AE58" s="30">
        <f t="shared" si="4"/>
        <v>3</v>
      </c>
      <c r="AF58" s="31">
        <f>100*AVERAGE(IF(VLOOKUP(A58,'Data Gaps'!A:O,15,FALSE)="X",Calculator!AH58/4,AVERAGE(AG58/5,AH58/4)),AVERAGE(AI58/5,AJ58/8),IF(VLOOKUP(A58,'Data Gaps'!A:O,15,FALSE)="X",Calculator!AL58/7,AVERAGE(AK58/7,AL58/7)))</f>
        <v>86.666666666666671</v>
      </c>
      <c r="AG58" s="4" t="str">
        <f>IF(AND($C$4=$A58,AG$3&lt;&gt;""),AG$3,'EBA2017'!AG58)</f>
        <v>N/A</v>
      </c>
      <c r="AH58" s="4">
        <f>IF(AND($C$4=$A58,AH$3&lt;&gt;""),AH$3,'EBA2017'!AH58)</f>
        <v>3.75</v>
      </c>
      <c r="AI58" s="4">
        <f>IF(AND($C$4=$A58,AI$3&lt;&gt;""),AI$3,'EBA2017'!AI58)</f>
        <v>3.5</v>
      </c>
      <c r="AJ58" s="4">
        <f>IF(AND($C$4=$A58,AJ$3&lt;&gt;""),AJ$3,'EBA2017'!AJ58)</f>
        <v>5</v>
      </c>
      <c r="AK58" s="4" t="str">
        <f>IF(AND($C$4=$A58,AK$3&lt;&gt;""),AK$3,'EBA2017'!AK58)</f>
        <v>N/A</v>
      </c>
      <c r="AL58" s="4">
        <f>IF(AND($C$4=$A58,AL$3&lt;&gt;""),AL$3,'EBA2017'!AL58)</f>
        <v>7</v>
      </c>
      <c r="AM58" s="30">
        <f t="shared" si="5"/>
        <v>2</v>
      </c>
      <c r="AN58" s="31">
        <f>VLOOKUP($A58,'Mark Base Calc'!$A:$Z,21,FALSE)</f>
        <v>87.07932692307692</v>
      </c>
      <c r="AO58" s="4">
        <f>IF(AND($C$4=$A58,AO$3&lt;&gt;""),AO$3,'EBA2017'!AO58)</f>
        <v>10.75</v>
      </c>
      <c r="AP58" s="4">
        <f>IF(AND($C$4=$A58,AP$3&lt;&gt;""),AP$3,'EBA2017'!AP58)</f>
        <v>7.75</v>
      </c>
      <c r="AQ58" s="4">
        <f>IF(AND($C$4=$A58,AQ$3&lt;&gt;""),AQ$3,'EBA2017'!AQ58)</f>
        <v>5.5</v>
      </c>
      <c r="AR58" s="12">
        <f>IF(AND($C$4=$A58,AR$3&lt;&gt;""),AR$3,'EBA2017'!AR58)</f>
        <v>0</v>
      </c>
      <c r="AS58" s="12">
        <f>IF(AND($C$4=$A58,AS$3&lt;&gt;""),AS$3,'EBA2017'!AS58)</f>
        <v>0</v>
      </c>
      <c r="AT58" s="4">
        <f>IF(AND($C$4=$A58,AT$3&lt;&gt;""),AT$3,'EBA2017'!AT58)</f>
        <v>0</v>
      </c>
      <c r="AU58" s="30">
        <f t="shared" si="6"/>
        <v>1</v>
      </c>
      <c r="AV58" s="31">
        <f t="shared" si="7"/>
        <v>91.696356363989423</v>
      </c>
      <c r="AW58" s="4">
        <f>IF(AND($C$4=$A58,AW$3&lt;&gt;""),AW$3,'EBA2017'!AW58)</f>
        <v>9.8333333333333321</v>
      </c>
      <c r="AX58" s="4">
        <f>IF(AND($C$4=$A58,AX$3&lt;&gt;""),AX$3,'EBA2017'!AX58)</f>
        <v>3.5</v>
      </c>
      <c r="AY58" s="4">
        <f>IF(AND($C$4=$A58,AY$3&lt;&gt;""),AY$3,'EBA2017'!AY58)</f>
        <v>0.16607032283831072</v>
      </c>
      <c r="AZ58" s="4">
        <f>IF(AND($C$4=$A58,AZ$3&lt;&gt;""),AZ$3,'EBA2017'!AZ58)</f>
        <v>9</v>
      </c>
      <c r="BA58" s="12">
        <f>IF(AND($C$4=$A58,BA$3&lt;&gt;""),BA$3,'EBA2017'!BA58)</f>
        <v>25</v>
      </c>
      <c r="BB58" s="4">
        <f>IF(AND($C$4=$A58,BB$3&lt;&gt;""),BB$3,'EBA2017'!BB58)</f>
        <v>0.51398421087561019</v>
      </c>
      <c r="BC58" s="30">
        <f t="shared" si="8"/>
        <v>1</v>
      </c>
      <c r="BD58" s="31">
        <f t="shared" si="9"/>
        <v>94.525862068965523</v>
      </c>
      <c r="BE58" s="4">
        <f>IF(AND($C$4=$A58,BE$3&lt;&gt;""),BE$3,'EBA2017'!BE58)</f>
        <v>27.999999999999996</v>
      </c>
      <c r="BF58" s="4">
        <f>IF(AND($C$4=$A58,BF$3&lt;&gt;""),BF$3,'EBA2017'!BF58)</f>
        <v>18.5</v>
      </c>
      <c r="BG58" s="30">
        <f t="shared" si="10"/>
        <v>1</v>
      </c>
      <c r="BH58" s="31">
        <f t="shared" si="11"/>
        <v>100</v>
      </c>
      <c r="BI58" s="4">
        <f>IF(AND($C$4=$A58,BI$3&lt;&gt;""),BI$3,'EBA2017'!BI58)</f>
        <v>9</v>
      </c>
    </row>
    <row r="59" spans="1:61" x14ac:dyDescent="0.2">
      <c r="A59" s="2" t="s">
        <v>122</v>
      </c>
      <c r="B59" s="3" t="s">
        <v>123</v>
      </c>
      <c r="C59" s="3" t="s">
        <v>12</v>
      </c>
      <c r="D59" s="3" t="s">
        <v>13</v>
      </c>
      <c r="E59" s="3" t="s">
        <v>9</v>
      </c>
      <c r="F59" s="3" t="s">
        <v>160</v>
      </c>
      <c r="G59" s="3" t="s">
        <v>158</v>
      </c>
      <c r="H59" s="30">
        <f t="shared" si="1"/>
        <v>47</v>
      </c>
      <c r="I59" s="31">
        <f>VLOOKUP($A59,'Seed Base Calc'!$A:$S,19,FALSE)</f>
        <v>47.103075360737243</v>
      </c>
      <c r="J59" s="4">
        <f>IF(AND($C$4=$A59,J$3&lt;&gt;""),J$3,'EBA2017'!J59)</f>
        <v>4</v>
      </c>
      <c r="K59" s="4">
        <f>IF(AND($C$4=$A59,K$3&lt;&gt;""),K$3,'EBA2017'!K59)</f>
        <v>3.5</v>
      </c>
      <c r="L59" s="4">
        <f>IF(AND($C$4=$A59,L$3&lt;&gt;""),L$3,'EBA2017'!L59)</f>
        <v>2</v>
      </c>
      <c r="M59" s="12">
        <f>IF(AND($C$4=$A59,M$3&lt;&gt;""),M$3,'EBA2017'!M59)</f>
        <v>298</v>
      </c>
      <c r="N59" s="4">
        <f>IF(AND($C$4=$A59,N$3&lt;&gt;""),N$3,'EBA2017'!N59)</f>
        <v>0</v>
      </c>
      <c r="O59" s="30">
        <f t="shared" si="2"/>
        <v>36</v>
      </c>
      <c r="P59" s="31">
        <f>VLOOKUP($A59,'Fert Base Calc'!$A:$S,19,FALSE)</f>
        <v>53.824426128556354</v>
      </c>
      <c r="Q59" s="4">
        <f>IF(AND($C$4=$A59,Q$3&lt;&gt;""),Q$3,'EBA2017'!Q59)</f>
        <v>2.4</v>
      </c>
      <c r="R59" s="4">
        <f>IF(AND($C$4=$A59,R$3&lt;&gt;""),R$3,'EBA2017'!R59)</f>
        <v>3.5</v>
      </c>
      <c r="S59" s="4">
        <f>IF(AND($C$4=$A59,S$3&lt;&gt;""),S$3,'EBA2017'!S59)</f>
        <v>3.5</v>
      </c>
      <c r="T59" s="12">
        <f>IF(AND($C$4=$A59,T$3&lt;&gt;""),T$3,'EBA2017'!T59)</f>
        <v>365</v>
      </c>
      <c r="U59" s="4">
        <f>IF(AND($C$4=$A59,U$3&lt;&gt;""),U$3,'EBA2017'!U59)</f>
        <v>3.6897076801334965</v>
      </c>
      <c r="V59" s="30">
        <f t="shared" si="3"/>
        <v>39</v>
      </c>
      <c r="W59" s="31">
        <f>VLOOKUP($A59,'Mech Base Calc'!$A:$Z,24,FALSE)</f>
        <v>46.184214277492934</v>
      </c>
      <c r="X59" s="4">
        <f>IF(AND($C$4=$A59,X$3&lt;&gt;""),X$3,'EBA2017'!X59)</f>
        <v>2.5</v>
      </c>
      <c r="Y59" s="4">
        <f>IF(AND($C$4=$A59,Y$3&lt;&gt;""),Y$3,'EBA2017'!Y59)</f>
        <v>2.3333333333333335</v>
      </c>
      <c r="Z59" s="4">
        <f>IF(AND($C$4=$A59,Z$3&lt;&gt;""),Z$3,'EBA2017'!Z59)</f>
        <v>3</v>
      </c>
      <c r="AA59" s="12" t="str">
        <f>IF(AND($C$4=$A59,AA$3&lt;&gt;""),AA$3,'EBA2017'!AA59)</f>
        <v>N/A</v>
      </c>
      <c r="AB59" s="4" t="str">
        <f>IF(AND($C$4=$A59,AB$3&lt;&gt;""),AB$3,'EBA2017'!AB59)</f>
        <v>N/A</v>
      </c>
      <c r="AC59" s="12">
        <f>IF(AND($C$4=$A59,AC$3&lt;&gt;""),AC$3,'EBA2017'!AC59)</f>
        <v>3</v>
      </c>
      <c r="AD59" s="4">
        <f>IF(AND($C$4=$A59,AD$3&lt;&gt;""),AD$3,'EBA2017'!AD59)</f>
        <v>3.2765041066799672</v>
      </c>
      <c r="AE59" s="30">
        <f t="shared" si="4"/>
        <v>58</v>
      </c>
      <c r="AF59" s="31">
        <f>100*AVERAGE(IF(VLOOKUP(A59,'Data Gaps'!A:O,15,FALSE)="X",Calculator!AH59/4,AVERAGE(AG59/5,AH59/4)),AVERAGE(AI59/5,AJ59/8),IF(VLOOKUP(A59,'Data Gaps'!A:O,15,FALSE)="X",Calculator!AL59/7,AVERAGE(AK59/7,AL59/7)))</f>
        <v>28.670634920634917</v>
      </c>
      <c r="AG59" s="4">
        <f>IF(AND($C$4=$A59,AG$3&lt;&gt;""),AG$3,'EBA2017'!AG59)</f>
        <v>0</v>
      </c>
      <c r="AH59" s="4">
        <f>IF(AND($C$4=$A59,AH$3&lt;&gt;""),AH$3,'EBA2017'!AH59)</f>
        <v>3.6666666666666661</v>
      </c>
      <c r="AI59" s="4">
        <f>IF(AND($C$4=$A59,AI$3&lt;&gt;""),AI$3,'EBA2017'!AI59)</f>
        <v>0</v>
      </c>
      <c r="AJ59" s="4">
        <f>IF(AND($C$4=$A59,AJ$3&lt;&gt;""),AJ$3,'EBA2017'!AJ59)</f>
        <v>3</v>
      </c>
      <c r="AK59" s="4">
        <f>IF(AND($C$4=$A59,AK$3&lt;&gt;""),AK$3,'EBA2017'!AK59)</f>
        <v>0</v>
      </c>
      <c r="AL59" s="4">
        <f>IF(AND($C$4=$A59,AL$3&lt;&gt;""),AL$3,'EBA2017'!AL59)</f>
        <v>3</v>
      </c>
      <c r="AM59" s="30">
        <f t="shared" si="5"/>
        <v>58</v>
      </c>
      <c r="AN59" s="31">
        <f>VLOOKUP($A59,'Mark Base Calc'!$A:$Z,21,FALSE)</f>
        <v>33.850038850038857</v>
      </c>
      <c r="AO59" s="4">
        <f>IF(AND($C$4=$A59,AO$3&lt;&gt;""),AO$3,'EBA2017'!AO59)</f>
        <v>6.9</v>
      </c>
      <c r="AP59" s="4">
        <f>IF(AND($C$4=$A59,AP$3&lt;&gt;""),AP$3,'EBA2017'!AP59)</f>
        <v>2</v>
      </c>
      <c r="AQ59" s="4">
        <f>IF(AND($C$4=$A59,AQ$3&lt;&gt;""),AQ$3,'EBA2017'!AQ59)</f>
        <v>2.5</v>
      </c>
      <c r="AR59" s="12">
        <f>IF(AND($C$4=$A59,AR$3&lt;&gt;""),AR$3,'EBA2017'!AR59)</f>
        <v>3</v>
      </c>
      <c r="AS59" s="12">
        <f>IF(AND($C$4=$A59,AS$3&lt;&gt;""),AS$3,'EBA2017'!AS59)</f>
        <v>4</v>
      </c>
      <c r="AT59" s="4">
        <f>IF(AND($C$4=$A59,AT$3&lt;&gt;""),AT$3,'EBA2017'!AT59)</f>
        <v>7.1205523749965458</v>
      </c>
      <c r="AU59" s="30">
        <f t="shared" si="6"/>
        <v>50</v>
      </c>
      <c r="AV59" s="31">
        <f t="shared" si="7"/>
        <v>31.820066543867586</v>
      </c>
      <c r="AW59" s="4">
        <f>IF(AND($C$4=$A59,AW$3&lt;&gt;""),AW$3,'EBA2017'!AW59)</f>
        <v>3.5</v>
      </c>
      <c r="AX59" s="4">
        <f>IF(AND($C$4=$A59,AX$3&lt;&gt;""),AX$3,'EBA2017'!AX59)</f>
        <v>1.5</v>
      </c>
      <c r="AY59" s="4">
        <f>IF(AND($C$4=$A59,AY$3&lt;&gt;""),AY$3,'EBA2017'!AY59)</f>
        <v>2.6825179820771665</v>
      </c>
      <c r="AZ59" s="4">
        <f>IF(AND($C$4=$A59,AZ$3&lt;&gt;""),AZ$3,'EBA2017'!AZ59)</f>
        <v>0</v>
      </c>
      <c r="BA59" s="12" t="str">
        <f>IF(AND($C$4=$A59,BA$3&lt;&gt;""),BA$3,'EBA2017'!BA59)</f>
        <v>N/A</v>
      </c>
      <c r="BB59" s="4" t="str">
        <f>IF(AND($C$4=$A59,BB$3&lt;&gt;""),BB$3,'EBA2017'!BB59)</f>
        <v>N/A</v>
      </c>
      <c r="BC59" s="30">
        <f t="shared" si="8"/>
        <v>54</v>
      </c>
      <c r="BD59" s="31">
        <f t="shared" si="9"/>
        <v>16.681034482758623</v>
      </c>
      <c r="BE59" s="4">
        <f>IF(AND($C$4=$A59,BE$3&lt;&gt;""),BE$3,'EBA2017'!BE59)</f>
        <v>7.5000000000000009</v>
      </c>
      <c r="BF59" s="4">
        <f>IF(AND($C$4=$A59,BF$3&lt;&gt;""),BF$3,'EBA2017'!BF59)</f>
        <v>1.5</v>
      </c>
      <c r="BG59" s="30">
        <f t="shared" si="10"/>
        <v>59</v>
      </c>
      <c r="BH59" s="31">
        <f t="shared" si="11"/>
        <v>27.777777777777779</v>
      </c>
      <c r="BI59" s="4">
        <f>IF(AND($C$4=$A59,BI$3&lt;&gt;""),BI$3,'EBA2017'!BI59)</f>
        <v>2.5</v>
      </c>
    </row>
    <row r="60" spans="1:61" x14ac:dyDescent="0.2">
      <c r="A60" s="2" t="s">
        <v>124</v>
      </c>
      <c r="B60" s="3" t="s">
        <v>125</v>
      </c>
      <c r="C60" s="3" t="s">
        <v>16</v>
      </c>
      <c r="D60" s="3" t="s">
        <v>17</v>
      </c>
      <c r="E60" s="3" t="s">
        <v>9</v>
      </c>
      <c r="F60" s="3" t="s">
        <v>160</v>
      </c>
      <c r="G60" s="3" t="s">
        <v>158</v>
      </c>
      <c r="H60" s="30">
        <f t="shared" si="1"/>
        <v>41</v>
      </c>
      <c r="I60" s="31">
        <f>VLOOKUP($A60,'Seed Base Calc'!$A:$S,19,FALSE)</f>
        <v>49.341930757844423</v>
      </c>
      <c r="J60" s="4">
        <f>IF(AND($C$4=$A60,J$3&lt;&gt;""),J$3,'EBA2017'!J60)</f>
        <v>8</v>
      </c>
      <c r="K60" s="4">
        <f>IF(AND($C$4=$A60,K$3&lt;&gt;""),K$3,'EBA2017'!K60)</f>
        <v>4.5</v>
      </c>
      <c r="L60" s="4">
        <f>IF(AND($C$4=$A60,L$3&lt;&gt;""),L$3,'EBA2017'!L60)</f>
        <v>4.5</v>
      </c>
      <c r="M60" s="12">
        <f>IF(AND($C$4=$A60,M$3&lt;&gt;""),M$3,'EBA2017'!M60)</f>
        <v>654</v>
      </c>
      <c r="N60" s="4">
        <f>IF(AND($C$4=$A60,N$3&lt;&gt;""),N$3,'EBA2017'!N60)</f>
        <v>620.66555118923702</v>
      </c>
      <c r="O60" s="30">
        <f t="shared" si="2"/>
        <v>56</v>
      </c>
      <c r="P60" s="31">
        <f>VLOOKUP($A60,'Fert Base Calc'!$A:$S,19,FALSE)</f>
        <v>23.214285714285715</v>
      </c>
      <c r="Q60" s="4">
        <f>IF(AND($C$4=$A60,Q$3&lt;&gt;""),Q$3,'EBA2017'!Q60)</f>
        <v>0</v>
      </c>
      <c r="R60" s="4">
        <f>IF(AND($C$4=$A60,R$3&lt;&gt;""),R$3,'EBA2017'!R60)</f>
        <v>3.5</v>
      </c>
      <c r="S60" s="4">
        <f>IF(AND($C$4=$A60,S$3&lt;&gt;""),S$3,'EBA2017'!S60)</f>
        <v>3</v>
      </c>
      <c r="T60" s="12" t="str">
        <f>IF(AND($C$4=$A60,T$3&lt;&gt;""),T$3,'EBA2017'!T60)</f>
        <v>N/A</v>
      </c>
      <c r="U60" s="4" t="str">
        <f>IF(AND($C$4=$A60,U$3&lt;&gt;""),U$3,'EBA2017'!U60)</f>
        <v>N/A</v>
      </c>
      <c r="V60" s="30">
        <f t="shared" si="3"/>
        <v>27</v>
      </c>
      <c r="W60" s="31">
        <f>VLOOKUP($A60,'Mech Base Calc'!$A:$Z,24,FALSE)</f>
        <v>54.868340678392315</v>
      </c>
      <c r="X60" s="4">
        <f>IF(AND($C$4=$A60,X$3&lt;&gt;""),X$3,'EBA2017'!X60)</f>
        <v>2.5</v>
      </c>
      <c r="Y60" s="4">
        <f>IF(AND($C$4=$A60,Y$3&lt;&gt;""),Y$3,'EBA2017'!Y60)</f>
        <v>5.3333333333333321</v>
      </c>
      <c r="Z60" s="4">
        <f>IF(AND($C$4=$A60,Z$3&lt;&gt;""),Z$3,'EBA2017'!Z60)</f>
        <v>1.5</v>
      </c>
      <c r="AA60" s="12">
        <f>IF(AND($C$4=$A60,AA$3&lt;&gt;""),AA$3,'EBA2017'!AA60)</f>
        <v>45</v>
      </c>
      <c r="AB60" s="4">
        <f>IF(AND($C$4=$A60,AB$3&lt;&gt;""),AB$3,'EBA2017'!AB60)</f>
        <v>146.61390972974104</v>
      </c>
      <c r="AC60" s="12">
        <f>IF(AND($C$4=$A60,AC$3&lt;&gt;""),AC$3,'EBA2017'!AC60)</f>
        <v>7</v>
      </c>
      <c r="AD60" s="4">
        <f>IF(AND($C$4=$A60,AD$3&lt;&gt;""),AD$3,'EBA2017'!AD60)</f>
        <v>29.811494978380676</v>
      </c>
      <c r="AE60" s="30">
        <f t="shared" si="4"/>
        <v>53</v>
      </c>
      <c r="AF60" s="31">
        <f>100*AVERAGE(IF(VLOOKUP(A60,'Data Gaps'!A:O,15,FALSE)="X",Calculator!AH60/4,AVERAGE(AG60/5,AH60/4)),AVERAGE(AI60/5,AJ60/8),IF(VLOOKUP(A60,'Data Gaps'!A:O,15,FALSE)="X",Calculator!AL60/7,AVERAGE(AK60/7,AL60/7)))</f>
        <v>33.928571428571423</v>
      </c>
      <c r="AG60" s="4">
        <f>IF(AND($C$4=$A60,AG$3&lt;&gt;""),AG$3,'EBA2017'!AG60)</f>
        <v>0</v>
      </c>
      <c r="AH60" s="4">
        <f>IF(AND($C$4=$A60,AH$3&lt;&gt;""),AH$3,'EBA2017'!AH60)</f>
        <v>2</v>
      </c>
      <c r="AI60" s="4">
        <f>IF(AND($C$4=$A60,AI$3&lt;&gt;""),AI$3,'EBA2017'!AI60)</f>
        <v>0</v>
      </c>
      <c r="AJ60" s="4">
        <f>IF(AND($C$4=$A60,AJ$3&lt;&gt;""),AJ$3,'EBA2017'!AJ60)</f>
        <v>2</v>
      </c>
      <c r="AK60" s="4">
        <f>IF(AND($C$4=$A60,AK$3&lt;&gt;""),AK$3,'EBA2017'!AK60)</f>
        <v>5</v>
      </c>
      <c r="AL60" s="4">
        <f>IF(AND($C$4=$A60,AL$3&lt;&gt;""),AL$3,'EBA2017'!AL60)</f>
        <v>4</v>
      </c>
      <c r="AM60" s="30">
        <f t="shared" si="5"/>
        <v>61</v>
      </c>
      <c r="AN60" s="31">
        <f>VLOOKUP($A60,'Mark Base Calc'!$A:$Z,21,FALSE)</f>
        <v>30.555555555555554</v>
      </c>
      <c r="AO60" s="4">
        <f>IF(AND($C$4=$A60,AO$3&lt;&gt;""),AO$3,'EBA2017'!AO60)</f>
        <v>6.5</v>
      </c>
      <c r="AP60" s="4">
        <f>IF(AND($C$4=$A60,AP$3&lt;&gt;""),AP$3,'EBA2017'!AP60)</f>
        <v>1.5</v>
      </c>
      <c r="AQ60" s="4" t="str">
        <f>IF(AND($C$4=$A60,AQ$3&lt;&gt;""),AQ$3,'EBA2017'!AQ60)</f>
        <v>No data</v>
      </c>
      <c r="AR60" s="12">
        <f>IF(AND($C$4=$A60,AR$3&lt;&gt;""),AR$3,'EBA2017'!AR60)</f>
        <v>2</v>
      </c>
      <c r="AS60" s="12">
        <f>IF(AND($C$4=$A60,AS$3&lt;&gt;""),AS$3,'EBA2017'!AS60)</f>
        <v>21</v>
      </c>
      <c r="AT60" s="4">
        <f>IF(AND($C$4=$A60,AT$3&lt;&gt;""),AT$3,'EBA2017'!AT60)</f>
        <v>6.1089129054058766</v>
      </c>
      <c r="AU60" s="30">
        <f t="shared" si="6"/>
        <v>45</v>
      </c>
      <c r="AV60" s="31">
        <f t="shared" si="7"/>
        <v>43.456724502352159</v>
      </c>
      <c r="AW60" s="4">
        <f>IF(AND($C$4=$A60,AW$3&lt;&gt;""),AW$3,'EBA2017'!AW60)</f>
        <v>1.0000000000000002</v>
      </c>
      <c r="AX60" s="4" t="str">
        <f>IF(AND($C$4=$A60,AX$3&lt;&gt;""),AX$3,'EBA2017'!AX60)</f>
        <v>N/A</v>
      </c>
      <c r="AY60" s="4" t="str">
        <f>IF(AND($C$4=$A60,AY$3&lt;&gt;""),AY$3,'EBA2017'!AY60)</f>
        <v>N/A</v>
      </c>
      <c r="AZ60" s="4">
        <f>IF(AND($C$4=$A60,AZ$3&lt;&gt;""),AZ$3,'EBA2017'!AZ60)</f>
        <v>7.0000000000000009</v>
      </c>
      <c r="BA60" s="12">
        <f>IF(AND($C$4=$A60,BA$3&lt;&gt;""),BA$3,'EBA2017'!BA60)</f>
        <v>14</v>
      </c>
      <c r="BB60" s="4">
        <f>IF(AND($C$4=$A60,BB$3&lt;&gt;""),BB$3,'EBA2017'!BB60)</f>
        <v>2.4435651621623506</v>
      </c>
      <c r="BC60" s="30">
        <f t="shared" si="8"/>
        <v>59</v>
      </c>
      <c r="BD60" s="31">
        <f t="shared" si="9"/>
        <v>10.172413793103448</v>
      </c>
      <c r="BE60" s="4">
        <f>IF(AND($C$4=$A60,BE$3&lt;&gt;""),BE$3,'EBA2017'!BE60)</f>
        <v>3</v>
      </c>
      <c r="BF60" s="4">
        <f>IF(AND($C$4=$A60,BF$3&lt;&gt;""),BF$3,'EBA2017'!BF60)</f>
        <v>2</v>
      </c>
      <c r="BG60" s="30">
        <f t="shared" si="10"/>
        <v>57</v>
      </c>
      <c r="BH60" s="31">
        <f t="shared" si="11"/>
        <v>33.333333333333329</v>
      </c>
      <c r="BI60" s="4">
        <f>IF(AND($C$4=$A60,BI$3&lt;&gt;""),BI$3,'EBA2017'!BI60)</f>
        <v>2.9999999999999996</v>
      </c>
    </row>
    <row r="61" spans="1:61" x14ac:dyDescent="0.2">
      <c r="A61" s="2" t="s">
        <v>126</v>
      </c>
      <c r="B61" s="3" t="s">
        <v>127</v>
      </c>
      <c r="C61" s="3" t="s">
        <v>7</v>
      </c>
      <c r="D61" s="3" t="s">
        <v>8</v>
      </c>
      <c r="E61" s="3" t="s">
        <v>9</v>
      </c>
      <c r="F61" s="3" t="s">
        <v>159</v>
      </c>
      <c r="G61" s="3" t="s">
        <v>163</v>
      </c>
      <c r="H61" s="30">
        <f t="shared" si="1"/>
        <v>51</v>
      </c>
      <c r="I61" s="31">
        <f>VLOOKUP($A61,'Seed Base Calc'!$A:$S,19,FALSE)</f>
        <v>42.395833333333336</v>
      </c>
      <c r="J61" s="4">
        <f>IF(AND($C$4=$A61,J$3&lt;&gt;""),J$3,'EBA2017'!J61)</f>
        <v>8</v>
      </c>
      <c r="K61" s="4">
        <f>IF(AND($C$4=$A61,K$3&lt;&gt;""),K$3,'EBA2017'!K61)</f>
        <v>4.5</v>
      </c>
      <c r="L61" s="4">
        <f>IF(AND($C$4=$A61,L$3&lt;&gt;""),L$3,'EBA2017'!L61)</f>
        <v>4</v>
      </c>
      <c r="M61" s="12" t="str">
        <f>IF(AND($C$4=$A61,M$3&lt;&gt;""),M$3,'EBA2017'!M61)</f>
        <v>No practice</v>
      </c>
      <c r="N61" s="4" t="str">
        <f>IF(AND($C$4=$A61,N$3&lt;&gt;""),N$3,'EBA2017'!N61)</f>
        <v>No practice</v>
      </c>
      <c r="O61" s="30">
        <f t="shared" si="2"/>
        <v>49</v>
      </c>
      <c r="P61" s="31">
        <f>VLOOKUP($A61,'Fert Base Calc'!$A:$S,19,FALSE)</f>
        <v>36.785714285714292</v>
      </c>
      <c r="Q61" s="4">
        <f>IF(AND($C$4=$A61,Q$3&lt;&gt;""),Q$3,'EBA2017'!Q61)</f>
        <v>2.2999999999999998</v>
      </c>
      <c r="R61" s="4">
        <f>IF(AND($C$4=$A61,R$3&lt;&gt;""),R$3,'EBA2017'!R61)</f>
        <v>2</v>
      </c>
      <c r="S61" s="4">
        <f>IF(AND($C$4=$A61,S$3&lt;&gt;""),S$3,'EBA2017'!S61)</f>
        <v>6</v>
      </c>
      <c r="T61" s="12" t="str">
        <f>IF(AND($C$4=$A61,T$3&lt;&gt;""),T$3,'EBA2017'!T61)</f>
        <v>No practice</v>
      </c>
      <c r="U61" s="4" t="str">
        <f>IF(AND($C$4=$A61,U$3&lt;&gt;""),U$3,'EBA2017'!U61)</f>
        <v>No practice</v>
      </c>
      <c r="V61" s="30">
        <f t="shared" si="3"/>
        <v>22</v>
      </c>
      <c r="W61" s="31">
        <f>VLOOKUP($A61,'Mech Base Calc'!$A:$Z,24,FALSE)</f>
        <v>58.149028033505822</v>
      </c>
      <c r="X61" s="4">
        <f>IF(AND($C$4=$A61,X$3&lt;&gt;""),X$3,'EBA2017'!X61)</f>
        <v>3</v>
      </c>
      <c r="Y61" s="4">
        <f>IF(AND($C$4=$A61,Y$3&lt;&gt;""),Y$3,'EBA2017'!Y61)</f>
        <v>4</v>
      </c>
      <c r="Z61" s="4">
        <f>IF(AND($C$4=$A61,Z$3&lt;&gt;""),Z$3,'EBA2017'!Z61)</f>
        <v>5</v>
      </c>
      <c r="AA61" s="12" t="str">
        <f>IF(AND($C$4=$A61,AA$3&lt;&gt;""),AA$3,'EBA2017'!AA61)</f>
        <v>No practice</v>
      </c>
      <c r="AB61" s="4" t="str">
        <f>IF(AND($C$4=$A61,AB$3&lt;&gt;""),AB$3,'EBA2017'!AB61)</f>
        <v>No practice</v>
      </c>
      <c r="AC61" s="12">
        <f>IF(AND($C$4=$A61,AC$3&lt;&gt;""),AC$3,'EBA2017'!AC61)</f>
        <v>10</v>
      </c>
      <c r="AD61" s="4">
        <f>IF(AND($C$4=$A61,AD$3&lt;&gt;""),AD$3,'EBA2017'!AD61)</f>
        <v>1.4636959544561556</v>
      </c>
      <c r="AE61" s="30">
        <f t="shared" si="4"/>
        <v>55</v>
      </c>
      <c r="AF61" s="31">
        <f>100*AVERAGE(IF(VLOOKUP(A61,'Data Gaps'!A:O,15,FALSE)="X",Calculator!AH61/4,AVERAGE(AG61/5,AH61/4)),AVERAGE(AI61/5,AJ61/8),IF(VLOOKUP(A61,'Data Gaps'!A:O,15,FALSE)="X",Calculator!AL61/7,AVERAGE(AK61/7,AL61/7)))</f>
        <v>32.142857142857146</v>
      </c>
      <c r="AG61" s="4">
        <f>IF(AND($C$4=$A61,AG$3&lt;&gt;""),AG$3,'EBA2017'!AG61)</f>
        <v>0</v>
      </c>
      <c r="AH61" s="4">
        <f>IF(AND($C$4=$A61,AH$3&lt;&gt;""),AH$3,'EBA2017'!AH61)</f>
        <v>1</v>
      </c>
      <c r="AI61" s="4">
        <f>IF(AND($C$4=$A61,AI$3&lt;&gt;""),AI$3,'EBA2017'!AI61)</f>
        <v>0</v>
      </c>
      <c r="AJ61" s="4">
        <f>IF(AND($C$4=$A61,AJ$3&lt;&gt;""),AJ$3,'EBA2017'!AJ61)</f>
        <v>2</v>
      </c>
      <c r="AK61" s="4">
        <f>IF(AND($C$4=$A61,AK$3&lt;&gt;""),AK$3,'EBA2017'!AK61)</f>
        <v>7</v>
      </c>
      <c r="AL61" s="4">
        <f>IF(AND($C$4=$A61,AL$3&lt;&gt;""),AL$3,'EBA2017'!AL61)</f>
        <v>3</v>
      </c>
      <c r="AM61" s="30">
        <f t="shared" si="5"/>
        <v>32</v>
      </c>
      <c r="AN61" s="31">
        <f>VLOOKUP($A61,'Mark Base Calc'!$A:$Z,21,FALSE)</f>
        <v>58.050842085894658</v>
      </c>
      <c r="AO61" s="4">
        <f>IF(AND($C$4=$A61,AO$3&lt;&gt;""),AO$3,'EBA2017'!AO61)</f>
        <v>9</v>
      </c>
      <c r="AP61" s="4">
        <f>IF(AND($C$4=$A61,AP$3&lt;&gt;""),AP$3,'EBA2017'!AP61)</f>
        <v>4.5</v>
      </c>
      <c r="AQ61" s="4">
        <f>IF(AND($C$4=$A61,AQ$3&lt;&gt;""),AQ$3,'EBA2017'!AQ61)</f>
        <v>5.5</v>
      </c>
      <c r="AR61" s="12">
        <f>IF(AND($C$4=$A61,AR$3&lt;&gt;""),AR$3,'EBA2017'!AR61)</f>
        <v>2</v>
      </c>
      <c r="AS61" s="12">
        <f>IF(AND($C$4=$A61,AS$3&lt;&gt;""),AS$3,'EBA2017'!AS61)</f>
        <v>6</v>
      </c>
      <c r="AT61" s="4">
        <f>IF(AND($C$4=$A61,AT$3&lt;&gt;""),AT$3,'EBA2017'!AT61)</f>
        <v>4.2696010991486055</v>
      </c>
      <c r="AU61" s="30">
        <f t="shared" si="6"/>
        <v>6</v>
      </c>
      <c r="AV61" s="31">
        <f t="shared" si="7"/>
        <v>84.085490905726317</v>
      </c>
      <c r="AW61" s="4">
        <f>IF(AND($C$4=$A61,AW$3&lt;&gt;""),AW$3,'EBA2017'!AW61)</f>
        <v>9.5</v>
      </c>
      <c r="AX61" s="4">
        <f>IF(AND($C$4=$A61,AX$3&lt;&gt;""),AX$3,'EBA2017'!AX61)</f>
        <v>2</v>
      </c>
      <c r="AY61" s="4">
        <f>IF(AND($C$4=$A61,AY$3&lt;&gt;""),AY$3,'EBA2017'!AY61)</f>
        <v>0.44433012332527821</v>
      </c>
      <c r="AZ61" s="4">
        <f>IF(AND($C$4=$A61,AZ$3&lt;&gt;""),AZ$3,'EBA2017'!AZ61)</f>
        <v>5</v>
      </c>
      <c r="BA61" s="12">
        <f>IF(AND($C$4=$A61,BA$3&lt;&gt;""),BA$3,'EBA2017'!BA61)</f>
        <v>1</v>
      </c>
      <c r="BB61" s="4">
        <f>IF(AND($C$4=$A61,BB$3&lt;&gt;""),BB$3,'EBA2017'!BB61)</f>
        <v>5.1229358405965444</v>
      </c>
      <c r="BC61" s="30">
        <f t="shared" si="8"/>
        <v>35</v>
      </c>
      <c r="BD61" s="31">
        <f t="shared" si="9"/>
        <v>46.810344827586206</v>
      </c>
      <c r="BE61" s="4">
        <f>IF(AND($C$4=$A61,BE$3&lt;&gt;""),BE$3,'EBA2017'!BE61)</f>
        <v>17</v>
      </c>
      <c r="BF61" s="4">
        <f>IF(AND($C$4=$A61,BF$3&lt;&gt;""),BF$3,'EBA2017'!BF61)</f>
        <v>7</v>
      </c>
      <c r="BG61" s="30">
        <f t="shared" si="10"/>
        <v>56</v>
      </c>
      <c r="BH61" s="31">
        <f t="shared" si="11"/>
        <v>36.111111111111107</v>
      </c>
      <c r="BI61" s="4">
        <f>IF(AND($C$4=$A61,BI$3&lt;&gt;""),BI$3,'EBA2017'!BI61)</f>
        <v>3.2499999999999996</v>
      </c>
    </row>
    <row r="62" spans="1:61" x14ac:dyDescent="0.2">
      <c r="A62" s="2" t="s">
        <v>128</v>
      </c>
      <c r="B62" s="3" t="s">
        <v>129</v>
      </c>
      <c r="C62" s="3" t="s">
        <v>16</v>
      </c>
      <c r="D62" s="3" t="s">
        <v>17</v>
      </c>
      <c r="E62" s="3" t="s">
        <v>18</v>
      </c>
      <c r="F62" s="3" t="s">
        <v>159</v>
      </c>
      <c r="G62" s="3" t="s">
        <v>158</v>
      </c>
      <c r="H62" s="30">
        <f t="shared" si="1"/>
        <v>17</v>
      </c>
      <c r="I62" s="31">
        <f>VLOOKUP($A62,'Seed Base Calc'!$A:$S,19,FALSE)</f>
        <v>68.905553720713385</v>
      </c>
      <c r="J62" s="4">
        <f>IF(AND($C$4=$A62,J$3&lt;&gt;""),J$3,'EBA2017'!J62)</f>
        <v>9</v>
      </c>
      <c r="K62" s="4">
        <f>IF(AND($C$4=$A62,K$3&lt;&gt;""),K$3,'EBA2017'!K62)</f>
        <v>4</v>
      </c>
      <c r="L62" s="4">
        <f>IF(AND($C$4=$A62,L$3&lt;&gt;""),L$3,'EBA2017'!L62)</f>
        <v>6.5</v>
      </c>
      <c r="M62" s="12">
        <f>IF(AND($C$4=$A62,M$3&lt;&gt;""),M$3,'EBA2017'!M62)</f>
        <v>333</v>
      </c>
      <c r="N62" s="4">
        <f>IF(AND($C$4=$A62,N$3&lt;&gt;""),N$3,'EBA2017'!N62)</f>
        <v>65.108755387015222</v>
      </c>
      <c r="O62" s="30">
        <f t="shared" si="2"/>
        <v>37</v>
      </c>
      <c r="P62" s="31">
        <f>VLOOKUP($A62,'Fert Base Calc'!$A:$S,19,FALSE)</f>
        <v>52.841236176336913</v>
      </c>
      <c r="Q62" s="4">
        <f>IF(AND($C$4=$A62,Q$3&lt;&gt;""),Q$3,'EBA2017'!Q62)</f>
        <v>3.4</v>
      </c>
      <c r="R62" s="4">
        <f>IF(AND($C$4=$A62,R$3&lt;&gt;""),R$3,'EBA2017'!R62)</f>
        <v>7</v>
      </c>
      <c r="S62" s="4">
        <f>IF(AND($C$4=$A62,S$3&lt;&gt;""),S$3,'EBA2017'!S62)</f>
        <v>3</v>
      </c>
      <c r="T62" s="12">
        <f>IF(AND($C$4=$A62,T$3&lt;&gt;""),T$3,'EBA2017'!T62)</f>
        <v>578</v>
      </c>
      <c r="U62" s="4">
        <f>IF(AND($C$4=$A62,U$3&lt;&gt;""),U$3,'EBA2017'!U62)</f>
        <v>983.14220634392962</v>
      </c>
      <c r="V62" s="30">
        <f t="shared" si="3"/>
        <v>40</v>
      </c>
      <c r="W62" s="31">
        <f>VLOOKUP($A62,'Mech Base Calc'!$A:$Z,24,FALSE)</f>
        <v>44.382515575697241</v>
      </c>
      <c r="X62" s="4">
        <f>IF(AND($C$4=$A62,X$3&lt;&gt;""),X$3,'EBA2017'!X62)</f>
        <v>0.5</v>
      </c>
      <c r="Y62" s="4">
        <f>IF(AND($C$4=$A62,Y$3&lt;&gt;""),Y$3,'EBA2017'!Y62)</f>
        <v>3.5</v>
      </c>
      <c r="Z62" s="4">
        <f>IF(AND($C$4=$A62,Z$3&lt;&gt;""),Z$3,'EBA2017'!Z62)</f>
        <v>5</v>
      </c>
      <c r="AA62" s="12" t="str">
        <f>IF(AND($C$4=$A62,AA$3&lt;&gt;""),AA$3,'EBA2017'!AA62)</f>
        <v>N/A</v>
      </c>
      <c r="AB62" s="4" t="str">
        <f>IF(AND($C$4=$A62,AB$3&lt;&gt;""),AB$3,'EBA2017'!AB62)</f>
        <v>N/A</v>
      </c>
      <c r="AC62" s="12">
        <f>IF(AND($C$4=$A62,AC$3&lt;&gt;""),AC$3,'EBA2017'!AC62)</f>
        <v>3</v>
      </c>
      <c r="AD62" s="4">
        <f>IF(AND($C$4=$A62,AD$3&lt;&gt;""),AD$3,'EBA2017'!AD62)</f>
        <v>20.716422168595752</v>
      </c>
      <c r="AE62" s="30">
        <f t="shared" si="4"/>
        <v>5</v>
      </c>
      <c r="AF62" s="31">
        <f>100*AVERAGE(IF(VLOOKUP(A62,'Data Gaps'!A:O,15,FALSE)="X",Calculator!AH62/4,AVERAGE(AG62/5,AH62/4)),AVERAGE(AI62/5,AJ62/8),IF(VLOOKUP(A62,'Data Gaps'!A:O,15,FALSE)="X",Calculator!AL62/7,AVERAGE(AK62/7,AL62/7)))</f>
        <v>84.849206349206341</v>
      </c>
      <c r="AG62" s="4">
        <f>IF(AND($C$4=$A62,AG$3&lt;&gt;""),AG$3,'EBA2017'!AG62)</f>
        <v>4.05</v>
      </c>
      <c r="AH62" s="4">
        <f>IF(AND($C$4=$A62,AH$3&lt;&gt;""),AH$3,'EBA2017'!AH62)</f>
        <v>3.6666666666666661</v>
      </c>
      <c r="AI62" s="4">
        <f>IF(AND($C$4=$A62,AI$3&lt;&gt;""),AI$3,'EBA2017'!AI62)</f>
        <v>4.5</v>
      </c>
      <c r="AJ62" s="4">
        <f>IF(AND($C$4=$A62,AJ$3&lt;&gt;""),AJ$3,'EBA2017'!AJ62)</f>
        <v>6</v>
      </c>
      <c r="AK62" s="4">
        <f>IF(AND($C$4=$A62,AK$3&lt;&gt;""),AK$3,'EBA2017'!AK62)</f>
        <v>6</v>
      </c>
      <c r="AL62" s="4">
        <f>IF(AND($C$4=$A62,AL$3&lt;&gt;""),AL$3,'EBA2017'!AL62)</f>
        <v>6</v>
      </c>
      <c r="AM62" s="30">
        <f t="shared" si="5"/>
        <v>56</v>
      </c>
      <c r="AN62" s="31">
        <f>VLOOKUP($A62,'Mark Base Calc'!$A:$Z,21,FALSE)</f>
        <v>37.875140961855024</v>
      </c>
      <c r="AO62" s="4">
        <f>IF(AND($C$4=$A62,AO$3&lt;&gt;""),AO$3,'EBA2017'!AO62)</f>
        <v>9.7000000000000011</v>
      </c>
      <c r="AP62" s="4">
        <f>IF(AND($C$4=$A62,AP$3&lt;&gt;""),AP$3,'EBA2017'!AP62)</f>
        <v>3</v>
      </c>
      <c r="AQ62" s="4">
        <f>IF(AND($C$4=$A62,AQ$3&lt;&gt;""),AQ$3,'EBA2017'!AQ62)</f>
        <v>3</v>
      </c>
      <c r="AR62" s="12">
        <f>IF(AND($C$4=$A62,AR$3&lt;&gt;""),AR$3,'EBA2017'!AR62)</f>
        <v>4</v>
      </c>
      <c r="AS62" s="12">
        <f>IF(AND($C$4=$A62,AS$3&lt;&gt;""),AS$3,'EBA2017'!AS62)</f>
        <v>16</v>
      </c>
      <c r="AT62" s="4">
        <f>IF(AND($C$4=$A62,AT$3&lt;&gt;""),AT$3,'EBA2017'!AT62)</f>
        <v>4.2857142857142856</v>
      </c>
      <c r="AU62" s="30">
        <f t="shared" si="6"/>
        <v>25</v>
      </c>
      <c r="AV62" s="31">
        <f t="shared" si="7"/>
        <v>65.134612548322423</v>
      </c>
      <c r="AW62" s="4">
        <f>IF(AND($C$4=$A62,AW$3&lt;&gt;""),AW$3,'EBA2017'!AW62)</f>
        <v>3.5</v>
      </c>
      <c r="AX62" s="4">
        <f>IF(AND($C$4=$A62,AX$3&lt;&gt;""),AX$3,'EBA2017'!AX62)</f>
        <v>3</v>
      </c>
      <c r="AY62" s="4">
        <f>IF(AND($C$4=$A62,AY$3&lt;&gt;""),AY$3,'EBA2017'!AY62)</f>
        <v>4.7351822099647434</v>
      </c>
      <c r="AZ62" s="4">
        <f>IF(AND($C$4=$A62,AZ$3&lt;&gt;""),AZ$3,'EBA2017'!AZ62)</f>
        <v>5.9999999999999991</v>
      </c>
      <c r="BA62" s="12">
        <f>IF(AND($C$4=$A62,BA$3&lt;&gt;""),BA$3,'EBA2017'!BA62)</f>
        <v>14</v>
      </c>
      <c r="BB62" s="4">
        <f>IF(AND($C$4=$A62,BB$3&lt;&gt;""),BB$3,'EBA2017'!BB62)</f>
        <v>21.978021978021978</v>
      </c>
      <c r="BC62" s="30">
        <f t="shared" si="8"/>
        <v>22</v>
      </c>
      <c r="BD62" s="31">
        <f t="shared" si="9"/>
        <v>62.672413793103445</v>
      </c>
      <c r="BE62" s="4">
        <f>IF(AND($C$4=$A62,BE$3&lt;&gt;""),BE$3,'EBA2017'!BE62)</f>
        <v>17.5</v>
      </c>
      <c r="BF62" s="4">
        <f>IF(AND($C$4=$A62,BF$3&lt;&gt;""),BF$3,'EBA2017'!BF62)</f>
        <v>13</v>
      </c>
      <c r="BG62" s="30">
        <f t="shared" si="10"/>
        <v>18</v>
      </c>
      <c r="BH62" s="31">
        <f t="shared" si="11"/>
        <v>66.666666666666657</v>
      </c>
      <c r="BI62" s="4">
        <f>IF(AND($C$4=$A62,BI$3&lt;&gt;""),BI$3,'EBA2017'!BI62)</f>
        <v>5.9999999999999991</v>
      </c>
    </row>
    <row r="63" spans="1:61" x14ac:dyDescent="0.2">
      <c r="A63" s="2" t="s">
        <v>130</v>
      </c>
      <c r="B63" s="3" t="s">
        <v>131</v>
      </c>
      <c r="C63" s="3" t="s">
        <v>32</v>
      </c>
      <c r="D63" s="3" t="s">
        <v>33</v>
      </c>
      <c r="E63" s="3" t="s">
        <v>25</v>
      </c>
      <c r="F63" s="3" t="s">
        <v>161</v>
      </c>
      <c r="G63" s="3" t="s">
        <v>158</v>
      </c>
      <c r="H63" s="30">
        <f t="shared" si="1"/>
        <v>32</v>
      </c>
      <c r="I63" s="31">
        <f>VLOOKUP($A63,'Seed Base Calc'!$A:$S,19,FALSE)</f>
        <v>56.870602669176698</v>
      </c>
      <c r="J63" s="4">
        <f>IF(AND($C$4=$A63,J$3&lt;&gt;""),J$3,'EBA2017'!J63)</f>
        <v>8</v>
      </c>
      <c r="K63" s="4">
        <f>IF(AND($C$4=$A63,K$3&lt;&gt;""),K$3,'EBA2017'!K63)</f>
        <v>3</v>
      </c>
      <c r="L63" s="4">
        <f>IF(AND($C$4=$A63,L$3&lt;&gt;""),L$3,'EBA2017'!L63)</f>
        <v>3</v>
      </c>
      <c r="M63" s="12">
        <f>IF(AND($C$4=$A63,M$3&lt;&gt;""),M$3,'EBA2017'!M63)</f>
        <v>327</v>
      </c>
      <c r="N63" s="4">
        <f>IF(AND($C$4=$A63,N$3&lt;&gt;""),N$3,'EBA2017'!N63)</f>
        <v>7.2903383858726007</v>
      </c>
      <c r="O63" s="30">
        <f t="shared" si="2"/>
        <v>15</v>
      </c>
      <c r="P63" s="31">
        <f>VLOOKUP($A63,'Fert Base Calc'!$A:$S,19,FALSE)</f>
        <v>71.647202858993225</v>
      </c>
      <c r="Q63" s="4">
        <f>IF(AND($C$4=$A63,Q$3&lt;&gt;""),Q$3,'EBA2017'!Q63)</f>
        <v>5.4000000000000012</v>
      </c>
      <c r="R63" s="4">
        <f>IF(AND($C$4=$A63,R$3&lt;&gt;""),R$3,'EBA2017'!R63)</f>
        <v>4.5000000000000009</v>
      </c>
      <c r="S63" s="4">
        <f>IF(AND($C$4=$A63,S$3&lt;&gt;""),S$3,'EBA2017'!S63)</f>
        <v>3.5</v>
      </c>
      <c r="T63" s="12">
        <f>IF(AND($C$4=$A63,T$3&lt;&gt;""),T$3,'EBA2017'!T63)</f>
        <v>100</v>
      </c>
      <c r="U63" s="4">
        <f>IF(AND($C$4=$A63,U$3&lt;&gt;""),U$3,'EBA2017'!U63)</f>
        <v>2.0430151818817022</v>
      </c>
      <c r="V63" s="30">
        <f t="shared" si="3"/>
        <v>24</v>
      </c>
      <c r="W63" s="31">
        <f>VLOOKUP($A63,'Mech Base Calc'!$A:$Z,24,FALSE)</f>
        <v>56.527355812458033</v>
      </c>
      <c r="X63" s="4">
        <f>IF(AND($C$4=$A63,X$3&lt;&gt;""),X$3,'EBA2017'!X63)</f>
        <v>3</v>
      </c>
      <c r="Y63" s="4">
        <f>IF(AND($C$4=$A63,Y$3&lt;&gt;""),Y$3,'EBA2017'!Y63)</f>
        <v>1.833333333333333</v>
      </c>
      <c r="Z63" s="4">
        <f>IF(AND($C$4=$A63,Z$3&lt;&gt;""),Z$3,'EBA2017'!Z63)</f>
        <v>5</v>
      </c>
      <c r="AA63" s="12" t="str">
        <f>IF(AND($C$4=$A63,AA$3&lt;&gt;""),AA$3,'EBA2017'!AA63)</f>
        <v>N/A</v>
      </c>
      <c r="AB63" s="4" t="str">
        <f>IF(AND($C$4=$A63,AB$3&lt;&gt;""),AB$3,'EBA2017'!AB63)</f>
        <v>N/A</v>
      </c>
      <c r="AC63" s="12">
        <f>IF(AND($C$4=$A63,AC$3&lt;&gt;""),AC$3,'EBA2017'!AC63)</f>
        <v>1</v>
      </c>
      <c r="AD63" s="4">
        <f>IF(AND($C$4=$A63,AD$3&lt;&gt;""),AD$3,'EBA2017'!AD63)</f>
        <v>0.23118329689713996</v>
      </c>
      <c r="AE63" s="30">
        <f t="shared" si="4"/>
        <v>29</v>
      </c>
      <c r="AF63" s="31">
        <f>100*AVERAGE(IF(VLOOKUP(A63,'Data Gaps'!A:O,15,FALSE)="X",Calculator!AH63/4,AVERAGE(AG63/5,AH63/4)),AVERAGE(AI63/5,AJ63/8),IF(VLOOKUP(A63,'Data Gaps'!A:O,15,FALSE)="X",Calculator!AL63/7,AVERAGE(AK63/7,AL63/7)))</f>
        <v>52.107142857142854</v>
      </c>
      <c r="AG63" s="4">
        <f>IF(AND($C$4=$A63,AG$3&lt;&gt;""),AG$3,'EBA2017'!AG63)</f>
        <v>3.4</v>
      </c>
      <c r="AH63" s="4">
        <f>IF(AND($C$4=$A63,AH$3&lt;&gt;""),AH$3,'EBA2017'!AH63)</f>
        <v>3.5</v>
      </c>
      <c r="AI63" s="4">
        <f>IF(AND($C$4=$A63,AI$3&lt;&gt;""),AI$3,'EBA2017'!AI63)</f>
        <v>3.75</v>
      </c>
      <c r="AJ63" s="4">
        <f>IF(AND($C$4=$A63,AJ$3&lt;&gt;""),AJ$3,'EBA2017'!AJ63)</f>
        <v>2</v>
      </c>
      <c r="AK63" s="4">
        <f>IF(AND($C$4=$A63,AK$3&lt;&gt;""),AK$3,'EBA2017'!AK63)</f>
        <v>0</v>
      </c>
      <c r="AL63" s="4">
        <f>IF(AND($C$4=$A63,AL$3&lt;&gt;""),AL$3,'EBA2017'!AL63)</f>
        <v>4</v>
      </c>
      <c r="AM63" s="30">
        <f t="shared" si="5"/>
        <v>52</v>
      </c>
      <c r="AN63" s="31">
        <f>VLOOKUP($A63,'Mark Base Calc'!$A:$Z,21,FALSE)</f>
        <v>44.62542499566235</v>
      </c>
      <c r="AO63" s="4">
        <f>IF(AND($C$4=$A63,AO$3&lt;&gt;""),AO$3,'EBA2017'!AO63)</f>
        <v>5</v>
      </c>
      <c r="AP63" s="4">
        <f>IF(AND($C$4=$A63,AP$3&lt;&gt;""),AP$3,'EBA2017'!AP63)</f>
        <v>3</v>
      </c>
      <c r="AQ63" s="4">
        <f>IF(AND($C$4=$A63,AQ$3&lt;&gt;""),AQ$3,'EBA2017'!AQ63)</f>
        <v>4.5</v>
      </c>
      <c r="AR63" s="12">
        <f>IF(AND($C$4=$A63,AR$3&lt;&gt;""),AR$3,'EBA2017'!AR63)</f>
        <v>3</v>
      </c>
      <c r="AS63" s="12">
        <f>IF(AND($C$4=$A63,AS$3&lt;&gt;""),AS$3,'EBA2017'!AS63)</f>
        <v>6</v>
      </c>
      <c r="AT63" s="4">
        <f>IF(AND($C$4=$A63,AT$3&lt;&gt;""),AT$3,'EBA2017'!AT63)</f>
        <v>0.6720444677242442</v>
      </c>
      <c r="AU63" s="30">
        <f t="shared" si="6"/>
        <v>53</v>
      </c>
      <c r="AV63" s="31">
        <f t="shared" si="7"/>
        <v>29.084333531608436</v>
      </c>
      <c r="AW63" s="4">
        <f>IF(AND($C$4=$A63,AW$3&lt;&gt;""),AW$3,'EBA2017'!AW63)</f>
        <v>5</v>
      </c>
      <c r="AX63" s="4">
        <f>IF(AND($C$4=$A63,AX$3&lt;&gt;""),AX$3,'EBA2017'!AX63)</f>
        <v>45</v>
      </c>
      <c r="AY63" s="4">
        <f>IF(AND($C$4=$A63,AY$3&lt;&gt;""),AY$3,'EBA2017'!AY63)</f>
        <v>0.80645336126909295</v>
      </c>
      <c r="AZ63" s="4">
        <f>IF(AND($C$4=$A63,AZ$3&lt;&gt;""),AZ$3,'EBA2017'!AZ63)</f>
        <v>0</v>
      </c>
      <c r="BA63" s="12" t="str">
        <f>IF(AND($C$4=$A63,BA$3&lt;&gt;""),BA$3,'EBA2017'!BA63)</f>
        <v>No practice</v>
      </c>
      <c r="BB63" s="4" t="str">
        <f>IF(AND($C$4=$A63,BB$3&lt;&gt;""),BB$3,'EBA2017'!BB63)</f>
        <v>No practice</v>
      </c>
      <c r="BC63" s="30">
        <f t="shared" si="8"/>
        <v>60</v>
      </c>
      <c r="BD63" s="31">
        <f t="shared" si="9"/>
        <v>6.0344827586206895</v>
      </c>
      <c r="BE63" s="4">
        <f>IF(AND($C$4=$A63,BE$3&lt;&gt;""),BE$3,'EBA2017'!BE63)</f>
        <v>3.4999999999999996</v>
      </c>
      <c r="BF63" s="4">
        <f>IF(AND($C$4=$A63,BF$3&lt;&gt;""),BF$3,'EBA2017'!BF63)</f>
        <v>0</v>
      </c>
      <c r="BG63" s="30">
        <f t="shared" si="10"/>
        <v>31</v>
      </c>
      <c r="BH63" s="31">
        <f t="shared" si="11"/>
        <v>55.555555555555557</v>
      </c>
      <c r="BI63" s="4">
        <f>IF(AND($C$4=$A63,BI$3&lt;&gt;""),BI$3,'EBA2017'!BI63)</f>
        <v>5</v>
      </c>
    </row>
    <row r="64" spans="1:61" x14ac:dyDescent="0.2">
      <c r="A64" s="2" t="s">
        <v>132</v>
      </c>
      <c r="B64" s="3" t="s">
        <v>133</v>
      </c>
      <c r="C64" s="3" t="s">
        <v>7</v>
      </c>
      <c r="D64" s="3" t="s">
        <v>8</v>
      </c>
      <c r="E64" s="3" t="s">
        <v>25</v>
      </c>
      <c r="F64" s="3" t="s">
        <v>159</v>
      </c>
      <c r="G64" s="3" t="s">
        <v>163</v>
      </c>
      <c r="H64" s="30">
        <f t="shared" si="1"/>
        <v>12</v>
      </c>
      <c r="I64" s="31">
        <f>VLOOKUP($A64,'Seed Base Calc'!$A:$S,19,FALSE)</f>
        <v>72.06572174718039</v>
      </c>
      <c r="J64" s="4">
        <f>IF(AND($C$4=$A64,J$3&lt;&gt;""),J$3,'EBA2017'!J64)</f>
        <v>6</v>
      </c>
      <c r="K64" s="4">
        <f>IF(AND($C$4=$A64,K$3&lt;&gt;""),K$3,'EBA2017'!K64)</f>
        <v>6.5</v>
      </c>
      <c r="L64" s="4">
        <f>IF(AND($C$4=$A64,L$3&lt;&gt;""),L$3,'EBA2017'!L64)</f>
        <v>10</v>
      </c>
      <c r="M64" s="12">
        <f>IF(AND($C$4=$A64,M$3&lt;&gt;""),M$3,'EBA2017'!M64)</f>
        <v>646</v>
      </c>
      <c r="N64" s="4">
        <f>IF(AND($C$4=$A64,N$3&lt;&gt;""),N$3,'EBA2017'!N64)</f>
        <v>28.821370184173094</v>
      </c>
      <c r="O64" s="30">
        <f t="shared" si="2"/>
        <v>12</v>
      </c>
      <c r="P64" s="31">
        <f>VLOOKUP($A64,'Fert Base Calc'!$A:$S,19,FALSE)</f>
        <v>74.101454514598544</v>
      </c>
      <c r="Q64" s="4">
        <f>IF(AND($C$4=$A64,Q$3&lt;&gt;""),Q$3,'EBA2017'!Q64)</f>
        <v>5.4000000000000012</v>
      </c>
      <c r="R64" s="4">
        <f>IF(AND($C$4=$A64,R$3&lt;&gt;""),R$3,'EBA2017'!R64)</f>
        <v>5</v>
      </c>
      <c r="S64" s="4">
        <f>IF(AND($C$4=$A64,S$3&lt;&gt;""),S$3,'EBA2017'!S64)</f>
        <v>3.5</v>
      </c>
      <c r="T64" s="12">
        <f>IF(AND($C$4=$A64,T$3&lt;&gt;""),T$3,'EBA2017'!T64)</f>
        <v>50</v>
      </c>
      <c r="U64" s="4">
        <f>IF(AND($C$4=$A64,U$3&lt;&gt;""),U$3,'EBA2017'!U64)</f>
        <v>1.6533505558909496</v>
      </c>
      <c r="V64" s="30">
        <f t="shared" si="3"/>
        <v>4</v>
      </c>
      <c r="W64" s="31">
        <f>VLOOKUP($A64,'Mech Base Calc'!$A:$Z,24,FALSE)</f>
        <v>88.68648362241855</v>
      </c>
      <c r="X64" s="4">
        <f>IF(AND($C$4=$A64,X$3&lt;&gt;""),X$3,'EBA2017'!X64)</f>
        <v>4.5</v>
      </c>
      <c r="Y64" s="4">
        <f>IF(AND($C$4=$A64,Y$3&lt;&gt;""),Y$3,'EBA2017'!Y64)</f>
        <v>6.6666666666666661</v>
      </c>
      <c r="Z64" s="4">
        <f>IF(AND($C$4=$A64,Z$3&lt;&gt;""),Z$3,'EBA2017'!Z64)</f>
        <v>5</v>
      </c>
      <c r="AA64" s="12">
        <f>IF(AND($C$4=$A64,AA$3&lt;&gt;""),AA$3,'EBA2017'!AA64)</f>
        <v>90</v>
      </c>
      <c r="AB64" s="4">
        <f>IF(AND($C$4=$A64,AB$3&lt;&gt;""),AB$3,'EBA2017'!AB64)</f>
        <v>102.0586762895648</v>
      </c>
      <c r="AC64" s="12">
        <f>IF(AND($C$4=$A64,AC$3&lt;&gt;""),AC$3,'EBA2017'!AC64)</f>
        <v>2</v>
      </c>
      <c r="AD64" s="4">
        <f>IF(AND($C$4=$A64,AD$3&lt;&gt;""),AD$3,'EBA2017'!AD64)</f>
        <v>2.4494082309495546</v>
      </c>
      <c r="AE64" s="30">
        <f t="shared" si="4"/>
        <v>32</v>
      </c>
      <c r="AF64" s="31">
        <f>100*AVERAGE(IF(VLOOKUP(A64,'Data Gaps'!A:O,15,FALSE)="X",Calculator!AH64/4,AVERAGE(AG64/5,AH64/4)),AVERAGE(AI64/5,AJ64/8),IF(VLOOKUP(A64,'Data Gaps'!A:O,15,FALSE)="X",Calculator!AL64/7,AVERAGE(AK64/7,AL64/7)))</f>
        <v>49.057539682539684</v>
      </c>
      <c r="AG64" s="4">
        <f>IF(AND($C$4=$A64,AG$3&lt;&gt;""),AG$3,'EBA2017'!AG64)</f>
        <v>0</v>
      </c>
      <c r="AH64" s="4">
        <f>IF(AND($C$4=$A64,AH$3&lt;&gt;""),AH$3,'EBA2017'!AH64)</f>
        <v>3.4166666666666661</v>
      </c>
      <c r="AI64" s="4">
        <f>IF(AND($C$4=$A64,AI$3&lt;&gt;""),AI$3,'EBA2017'!AI64)</f>
        <v>5</v>
      </c>
      <c r="AJ64" s="4">
        <f>IF(AND($C$4=$A64,AJ$3&lt;&gt;""),AJ$3,'EBA2017'!AJ64)</f>
        <v>3</v>
      </c>
      <c r="AK64" s="4">
        <f>IF(AND($C$4=$A64,AK$3&lt;&gt;""),AK$3,'EBA2017'!AK64)</f>
        <v>0</v>
      </c>
      <c r="AL64" s="4">
        <f>IF(AND($C$4=$A64,AL$3&lt;&gt;""),AL$3,'EBA2017'!AL64)</f>
        <v>5</v>
      </c>
      <c r="AM64" s="30">
        <f t="shared" si="5"/>
        <v>29</v>
      </c>
      <c r="AN64" s="31">
        <f>VLOOKUP($A64,'Mark Base Calc'!$A:$Z,21,FALSE)</f>
        <v>59.945324827969237</v>
      </c>
      <c r="AO64" s="4">
        <f>IF(AND($C$4=$A64,AO$3&lt;&gt;""),AO$3,'EBA2017'!AO64)</f>
        <v>5.0999999999999996</v>
      </c>
      <c r="AP64" s="4">
        <f>IF(AND($C$4=$A64,AP$3&lt;&gt;""),AP$3,'EBA2017'!AP64)</f>
        <v>7</v>
      </c>
      <c r="AQ64" s="4">
        <f>IF(AND($C$4=$A64,AQ$3&lt;&gt;""),AQ$3,'EBA2017'!AQ64)</f>
        <v>4</v>
      </c>
      <c r="AR64" s="12">
        <f>IF(AND($C$4=$A64,AR$3&lt;&gt;""),AR$3,'EBA2017'!AR64)</f>
        <v>3</v>
      </c>
      <c r="AS64" s="12">
        <f>IF(AND($C$4=$A64,AS$3&lt;&gt;""),AS$3,'EBA2017'!AS64)</f>
        <v>3</v>
      </c>
      <c r="AT64" s="4">
        <f>IF(AND($C$4=$A64,AT$3&lt;&gt;""),AT$3,'EBA2017'!AT64)</f>
        <v>0.44905817567408512</v>
      </c>
      <c r="AU64" s="30">
        <f t="shared" si="6"/>
        <v>28</v>
      </c>
      <c r="AV64" s="31">
        <f t="shared" si="7"/>
        <v>62.60740856321204</v>
      </c>
      <c r="AW64" s="4">
        <f>IF(AND($C$4=$A64,AW$3&lt;&gt;""),AW$3,'EBA2017'!AW64)</f>
        <v>8.6666666666666679</v>
      </c>
      <c r="AX64" s="4">
        <f>IF(AND($C$4=$A64,AX$3&lt;&gt;""),AX$3,'EBA2017'!AX64)</f>
        <v>4</v>
      </c>
      <c r="AY64" s="4">
        <f>IF(AND($C$4=$A64,AY$3&lt;&gt;""),AY$3,'EBA2017'!AY64)</f>
        <v>83.492161898967169</v>
      </c>
      <c r="AZ64" s="4">
        <f>IF(AND($C$4=$A64,AZ$3&lt;&gt;""),AZ$3,'EBA2017'!AZ64)</f>
        <v>7.0000000000000009</v>
      </c>
      <c r="BA64" s="12">
        <f>IF(AND($C$4=$A64,BA$3&lt;&gt;""),BA$3,'EBA2017'!BA64)</f>
        <v>6</v>
      </c>
      <c r="BB64" s="4">
        <f>IF(AND($C$4=$A64,BB$3&lt;&gt;""),BB$3,'EBA2017'!BB64)</f>
        <v>334.05029453690031</v>
      </c>
      <c r="BC64" s="30">
        <f t="shared" si="8"/>
        <v>51</v>
      </c>
      <c r="BD64" s="31">
        <f t="shared" si="9"/>
        <v>24.137931034482758</v>
      </c>
      <c r="BE64" s="4">
        <f>IF(AND($C$4=$A64,BE$3&lt;&gt;""),BE$3,'EBA2017'!BE64)</f>
        <v>13.999999999999998</v>
      </c>
      <c r="BF64" s="4">
        <f>IF(AND($C$4=$A64,BF$3&lt;&gt;""),BF$3,'EBA2017'!BF64)</f>
        <v>0</v>
      </c>
      <c r="BG64" s="30">
        <f t="shared" si="10"/>
        <v>31</v>
      </c>
      <c r="BH64" s="31">
        <f t="shared" si="11"/>
        <v>55.555555555555557</v>
      </c>
      <c r="BI64" s="4">
        <f>IF(AND($C$4=$A64,BI$3&lt;&gt;""),BI$3,'EBA2017'!BI64)</f>
        <v>5</v>
      </c>
    </row>
    <row r="65" spans="1:61" x14ac:dyDescent="0.2">
      <c r="A65" s="2" t="s">
        <v>134</v>
      </c>
      <c r="B65" s="3" t="s">
        <v>135</v>
      </c>
      <c r="C65" s="3" t="s">
        <v>16</v>
      </c>
      <c r="D65" s="3" t="s">
        <v>17</v>
      </c>
      <c r="E65" s="3" t="s">
        <v>18</v>
      </c>
      <c r="F65" s="3" t="s">
        <v>160</v>
      </c>
      <c r="G65" s="3" t="s">
        <v>158</v>
      </c>
      <c r="H65" s="30">
        <f t="shared" si="1"/>
        <v>31</v>
      </c>
      <c r="I65" s="31">
        <f>VLOOKUP($A65,'Seed Base Calc'!$A:$S,19,FALSE)</f>
        <v>57.820912149872683</v>
      </c>
      <c r="J65" s="4">
        <f>IF(AND($C$4=$A65,J$3&lt;&gt;""),J$3,'EBA2017'!J65)</f>
        <v>7</v>
      </c>
      <c r="K65" s="4">
        <f>IF(AND($C$4=$A65,K$3&lt;&gt;""),K$3,'EBA2017'!K65)</f>
        <v>5.5</v>
      </c>
      <c r="L65" s="4">
        <f>IF(AND($C$4=$A65,L$3&lt;&gt;""),L$3,'EBA2017'!L65)</f>
        <v>3</v>
      </c>
      <c r="M65" s="12">
        <f>IF(AND($C$4=$A65,M$3&lt;&gt;""),M$3,'EBA2017'!M65)</f>
        <v>523</v>
      </c>
      <c r="N65" s="4">
        <f>IF(AND($C$4=$A65,N$3&lt;&gt;""),N$3,'EBA2017'!N65)</f>
        <v>0</v>
      </c>
      <c r="O65" s="30">
        <f t="shared" si="2"/>
        <v>40</v>
      </c>
      <c r="P65" s="31">
        <f>VLOOKUP($A65,'Fert Base Calc'!$A:$S,19,FALSE)</f>
        <v>46.746898373387033</v>
      </c>
      <c r="Q65" s="4">
        <f>IF(AND($C$4=$A65,Q$3&lt;&gt;""),Q$3,'EBA2017'!Q65)</f>
        <v>3.4</v>
      </c>
      <c r="R65" s="4">
        <f>IF(AND($C$4=$A65,R$3&lt;&gt;""),R$3,'EBA2017'!R65)</f>
        <v>4</v>
      </c>
      <c r="S65" s="4">
        <f>IF(AND($C$4=$A65,S$3&lt;&gt;""),S$3,'EBA2017'!S65)</f>
        <v>2</v>
      </c>
      <c r="T65" s="12">
        <f>IF(AND($C$4=$A65,T$3&lt;&gt;""),T$3,'EBA2017'!T65)</f>
        <v>663</v>
      </c>
      <c r="U65" s="4">
        <f>IF(AND($C$4=$A65,U$3&lt;&gt;""),U$3,'EBA2017'!U65)</f>
        <v>215.29316667584428</v>
      </c>
      <c r="V65" s="30">
        <f t="shared" si="3"/>
        <v>31</v>
      </c>
      <c r="W65" s="31">
        <f>VLOOKUP($A65,'Mech Base Calc'!$A:$Z,24,FALSE)</f>
        <v>53.209704706954334</v>
      </c>
      <c r="X65" s="4">
        <f>IF(AND($C$4=$A65,X$3&lt;&gt;""),X$3,'EBA2017'!X65)</f>
        <v>2</v>
      </c>
      <c r="Y65" s="4">
        <f>IF(AND($C$4=$A65,Y$3&lt;&gt;""),Y$3,'EBA2017'!Y65)</f>
        <v>5</v>
      </c>
      <c r="Z65" s="4">
        <f>IF(AND($C$4=$A65,Z$3&lt;&gt;""),Z$3,'EBA2017'!Z65)</f>
        <v>5</v>
      </c>
      <c r="AA65" s="12" t="str">
        <f>IF(AND($C$4=$A65,AA$3&lt;&gt;""),AA$3,'EBA2017'!AA65)</f>
        <v>No practice</v>
      </c>
      <c r="AB65" s="4" t="str">
        <f>IF(AND($C$4=$A65,AB$3&lt;&gt;""),AB$3,'EBA2017'!AB65)</f>
        <v>No practice</v>
      </c>
      <c r="AC65" s="12">
        <f>IF(AND($C$4=$A65,AC$3&lt;&gt;""),AC$3,'EBA2017'!AC65)</f>
        <v>8.5</v>
      </c>
      <c r="AD65" s="4">
        <f>IF(AND($C$4=$A65,AD$3&lt;&gt;""),AD$3,'EBA2017'!AD65)</f>
        <v>16.308457375695205</v>
      </c>
      <c r="AE65" s="30">
        <f t="shared" si="4"/>
        <v>31</v>
      </c>
      <c r="AF65" s="31">
        <f>100*AVERAGE(IF(VLOOKUP(A65,'Data Gaps'!A:O,15,FALSE)="X",Calculator!AH65/4,AVERAGE(AG65/5,AH65/4)),AVERAGE(AI65/5,AJ65/8),IF(VLOOKUP(A65,'Data Gaps'!A:O,15,FALSE)="X",Calculator!AL65/7,AVERAGE(AK65/7,AL65/7)))</f>
        <v>50.297619047619044</v>
      </c>
      <c r="AG65" s="4">
        <f>IF(AND($C$4=$A65,AG$3&lt;&gt;""),AG$3,'EBA2017'!AG65)</f>
        <v>0</v>
      </c>
      <c r="AH65" s="4">
        <f>IF(AND($C$4=$A65,AH$3&lt;&gt;""),AH$3,'EBA2017'!AH65)</f>
        <v>1</v>
      </c>
      <c r="AI65" s="4">
        <f>IF(AND($C$4=$A65,AI$3&lt;&gt;""),AI$3,'EBA2017'!AI65)</f>
        <v>5</v>
      </c>
      <c r="AJ65" s="4">
        <f>IF(AND($C$4=$A65,AJ$3&lt;&gt;""),AJ$3,'EBA2017'!AJ65)</f>
        <v>5</v>
      </c>
      <c r="AK65" s="4">
        <f>IF(AND($C$4=$A65,AK$3&lt;&gt;""),AK$3,'EBA2017'!AK65)</f>
        <v>5</v>
      </c>
      <c r="AL65" s="4">
        <f>IF(AND($C$4=$A65,AL$3&lt;&gt;""),AL$3,'EBA2017'!AL65)</f>
        <v>3</v>
      </c>
      <c r="AM65" s="30">
        <f t="shared" si="5"/>
        <v>45</v>
      </c>
      <c r="AN65" s="31">
        <f>VLOOKUP($A65,'Mark Base Calc'!$A:$Z,21,FALSE)</f>
        <v>50.43565039778187</v>
      </c>
      <c r="AO65" s="4">
        <f>IF(AND($C$4=$A65,AO$3&lt;&gt;""),AO$3,'EBA2017'!AO65)</f>
        <v>6.9</v>
      </c>
      <c r="AP65" s="4">
        <f>IF(AND($C$4=$A65,AP$3&lt;&gt;""),AP$3,'EBA2017'!AP65)</f>
        <v>3</v>
      </c>
      <c r="AQ65" s="4">
        <f>IF(AND($C$4=$A65,AQ$3&lt;&gt;""),AQ$3,'EBA2017'!AQ65)</f>
        <v>4</v>
      </c>
      <c r="AR65" s="12">
        <f>IF(AND($C$4=$A65,AR$3&lt;&gt;""),AR$3,'EBA2017'!AR65)</f>
        <v>3</v>
      </c>
      <c r="AS65" s="12">
        <f>IF(AND($C$4=$A65,AS$3&lt;&gt;""),AS$3,'EBA2017'!AS65)</f>
        <v>4</v>
      </c>
      <c r="AT65" s="4">
        <f>IF(AND($C$4=$A65,AT$3&lt;&gt;""),AT$3,'EBA2017'!AT65)</f>
        <v>0.26911645834480535</v>
      </c>
      <c r="AU65" s="30">
        <f t="shared" si="6"/>
        <v>18</v>
      </c>
      <c r="AV65" s="31">
        <f t="shared" si="7"/>
        <v>68.16889569505804</v>
      </c>
      <c r="AW65" s="4">
        <f>IF(AND($C$4=$A65,AW$3&lt;&gt;""),AW$3,'EBA2017'!AW65)</f>
        <v>4.5000000000000009</v>
      </c>
      <c r="AX65" s="4">
        <f>IF(AND($C$4=$A65,AX$3&lt;&gt;""),AX$3,'EBA2017'!AX65)</f>
        <v>1</v>
      </c>
      <c r="AY65" s="4">
        <f>IF(AND($C$4=$A65,AY$3&lt;&gt;""),AY$3,'EBA2017'!AY65)</f>
        <v>5.9205620835857182</v>
      </c>
      <c r="AZ65" s="4">
        <f>IF(AND($C$4=$A65,AZ$3&lt;&gt;""),AZ$3,'EBA2017'!AZ65)</f>
        <v>5.9999999999999991</v>
      </c>
      <c r="BA65" s="12">
        <f>IF(AND($C$4=$A65,BA$3&lt;&gt;""),BA$3,'EBA2017'!BA65)</f>
        <v>2</v>
      </c>
      <c r="BB65" s="4">
        <f>IF(AND($C$4=$A65,BB$3&lt;&gt;""),BB$3,'EBA2017'!BB65)</f>
        <v>29.850746268656714</v>
      </c>
      <c r="BC65" s="30">
        <f t="shared" si="8"/>
        <v>26</v>
      </c>
      <c r="BD65" s="31">
        <f t="shared" si="9"/>
        <v>58.577586206896548</v>
      </c>
      <c r="BE65" s="4">
        <f>IF(AND($C$4=$A65,BE$3&lt;&gt;""),BE$3,'EBA2017'!BE65)</f>
        <v>11.5</v>
      </c>
      <c r="BF65" s="4">
        <f>IF(AND($C$4=$A65,BF$3&lt;&gt;""),BF$3,'EBA2017'!BF65)</f>
        <v>15.5</v>
      </c>
      <c r="BG65" s="30">
        <f t="shared" si="10"/>
        <v>22</v>
      </c>
      <c r="BH65" s="31">
        <f t="shared" si="11"/>
        <v>61.111111111111114</v>
      </c>
      <c r="BI65" s="4">
        <f>IF(AND($C$4=$A65,BI$3&lt;&gt;""),BI$3,'EBA2017'!BI65)</f>
        <v>5.5</v>
      </c>
    </row>
    <row r="66" spans="1:61" x14ac:dyDescent="0.2">
      <c r="A66" s="2" t="s">
        <v>136</v>
      </c>
      <c r="B66" s="3" t="s">
        <v>137</v>
      </c>
      <c r="C66" s="3" t="s">
        <v>7</v>
      </c>
      <c r="D66" s="3" t="s">
        <v>8</v>
      </c>
      <c r="E66" s="3" t="s">
        <v>9</v>
      </c>
      <c r="F66" s="3" t="s">
        <v>162</v>
      </c>
      <c r="G66" s="3" t="s">
        <v>163</v>
      </c>
      <c r="H66" s="30">
        <f t="shared" si="1"/>
        <v>33</v>
      </c>
      <c r="I66" s="31">
        <f>VLOOKUP($A66,'Seed Base Calc'!$A:$S,19,FALSE)</f>
        <v>56.441558944358619</v>
      </c>
      <c r="J66" s="4">
        <f>IF(AND($C$4=$A66,J$3&lt;&gt;""),J$3,'EBA2017'!J66)</f>
        <v>8</v>
      </c>
      <c r="K66" s="4">
        <f>IF(AND($C$4=$A66,K$3&lt;&gt;""),K$3,'EBA2017'!K66)</f>
        <v>5</v>
      </c>
      <c r="L66" s="4">
        <f>IF(AND($C$4=$A66,L$3&lt;&gt;""),L$3,'EBA2017'!L66)</f>
        <v>3</v>
      </c>
      <c r="M66" s="12">
        <f>IF(AND($C$4=$A66,M$3&lt;&gt;""),M$3,'EBA2017'!M66)</f>
        <v>714</v>
      </c>
      <c r="N66" s="4">
        <f>IF(AND($C$4=$A66,N$3&lt;&gt;""),N$3,'EBA2017'!N66)</f>
        <v>25.417118954576264</v>
      </c>
      <c r="O66" s="30">
        <f t="shared" si="2"/>
        <v>32</v>
      </c>
      <c r="P66" s="31">
        <f>VLOOKUP($A66,'Fert Base Calc'!$A:$S,19,FALSE)</f>
        <v>57.623466141493708</v>
      </c>
      <c r="Q66" s="4">
        <f>IF(AND($C$4=$A66,Q$3&lt;&gt;""),Q$3,'EBA2017'!Q66)</f>
        <v>4.8</v>
      </c>
      <c r="R66" s="4">
        <f>IF(AND($C$4=$A66,R$3&lt;&gt;""),R$3,'EBA2017'!R66)</f>
        <v>3</v>
      </c>
      <c r="S66" s="4">
        <f>IF(AND($C$4=$A66,S$3&lt;&gt;""),S$3,'EBA2017'!S66)</f>
        <v>6</v>
      </c>
      <c r="T66" s="12">
        <f>IF(AND($C$4=$A66,T$3&lt;&gt;""),T$3,'EBA2017'!T66)</f>
        <v>325</v>
      </c>
      <c r="U66" s="4">
        <f>IF(AND($C$4=$A66,U$3&lt;&gt;""),U$3,'EBA2017'!U66)</f>
        <v>845.7727569154589</v>
      </c>
      <c r="V66" s="30">
        <f t="shared" si="3"/>
        <v>15</v>
      </c>
      <c r="W66" s="31">
        <f>VLOOKUP($A66,'Mech Base Calc'!$A:$Z,24,FALSE)</f>
        <v>63.749538676517261</v>
      </c>
      <c r="X66" s="4">
        <f>IF(AND($C$4=$A66,X$3&lt;&gt;""),X$3,'EBA2017'!X66)</f>
        <v>0.5</v>
      </c>
      <c r="Y66" s="4">
        <f>IF(AND($C$4=$A66,Y$3&lt;&gt;""),Y$3,'EBA2017'!Y66)</f>
        <v>4.8333333333333339</v>
      </c>
      <c r="Z66" s="4">
        <f>IF(AND($C$4=$A66,Z$3&lt;&gt;""),Z$3,'EBA2017'!Z66)</f>
        <v>5</v>
      </c>
      <c r="AA66" s="12" t="str">
        <f>IF(AND($C$4=$A66,AA$3&lt;&gt;""),AA$3,'EBA2017'!AA66)</f>
        <v>No data</v>
      </c>
      <c r="AB66" s="4">
        <f>IF(AND($C$4=$A66,AB$3&lt;&gt;""),AB$3,'EBA2017'!AB66)</f>
        <v>219.68123556245683</v>
      </c>
      <c r="AC66" s="12">
        <f>IF(AND($C$4=$A66,AC$3&lt;&gt;""),AC$3,'EBA2017'!AC66)</f>
        <v>6</v>
      </c>
      <c r="AD66" s="4">
        <f>IF(AND($C$4=$A66,AD$3&lt;&gt;""),AD$3,'EBA2017'!AD66)</f>
        <v>2.1968123556245684</v>
      </c>
      <c r="AE66" s="30">
        <f t="shared" si="4"/>
        <v>26</v>
      </c>
      <c r="AF66" s="31">
        <f>100*AVERAGE(IF(VLOOKUP(A66,'Data Gaps'!A:O,15,FALSE)="X",Calculator!AH66/4,AVERAGE(AG66/5,AH66/4)),AVERAGE(AI66/5,AJ66/8),IF(VLOOKUP(A66,'Data Gaps'!A:O,15,FALSE)="X",Calculator!AL66/7,AVERAGE(AK66/7,AL66/7)))</f>
        <v>53.273809523809526</v>
      </c>
      <c r="AG66" s="4">
        <f>IF(AND($C$4=$A66,AG$3&lt;&gt;""),AG$3,'EBA2017'!AG66)</f>
        <v>3.125</v>
      </c>
      <c r="AH66" s="4">
        <f>IF(AND($C$4=$A66,AH$3&lt;&gt;""),AH$3,'EBA2017'!AH66)</f>
        <v>1</v>
      </c>
      <c r="AI66" s="4">
        <f>IF(AND($C$4=$A66,AI$3&lt;&gt;""),AI$3,'EBA2017'!AI66)</f>
        <v>5</v>
      </c>
      <c r="AJ66" s="4">
        <f>IF(AND($C$4=$A66,AJ$3&lt;&gt;""),AJ$3,'EBA2017'!AJ66)</f>
        <v>6</v>
      </c>
      <c r="AK66" s="4">
        <f>IF(AND($C$4=$A66,AK$3&lt;&gt;""),AK$3,'EBA2017'!AK66)</f>
        <v>0</v>
      </c>
      <c r="AL66" s="4">
        <f>IF(AND($C$4=$A66,AL$3&lt;&gt;""),AL$3,'EBA2017'!AL66)</f>
        <v>4</v>
      </c>
      <c r="AM66" s="30">
        <f t="shared" si="5"/>
        <v>26</v>
      </c>
      <c r="AN66" s="31">
        <f>VLOOKUP($A66,'Mark Base Calc'!$A:$Z,21,FALSE)</f>
        <v>61.354886805339781</v>
      </c>
      <c r="AO66" s="4">
        <f>IF(AND($C$4=$A66,AO$3&lt;&gt;""),AO$3,'EBA2017'!AO66)</f>
        <v>8.3999999999999986</v>
      </c>
      <c r="AP66" s="4">
        <f>IF(AND($C$4=$A66,AP$3&lt;&gt;""),AP$3,'EBA2017'!AP66)</f>
        <v>4.5</v>
      </c>
      <c r="AQ66" s="4">
        <f>IF(AND($C$4=$A66,AQ$3&lt;&gt;""),AQ$3,'EBA2017'!AQ66)</f>
        <v>5</v>
      </c>
      <c r="AR66" s="12">
        <f>IF(AND($C$4=$A66,AR$3&lt;&gt;""),AR$3,'EBA2017'!AR66)</f>
        <v>3</v>
      </c>
      <c r="AS66" s="12">
        <f>IF(AND($C$4=$A66,AS$3&lt;&gt;""),AS$3,'EBA2017'!AS66)</f>
        <v>5</v>
      </c>
      <c r="AT66" s="4">
        <f>IF(AND($C$4=$A66,AT$3&lt;&gt;""),AT$3,'EBA2017'!AT66)</f>
        <v>0.91585441941597401</v>
      </c>
      <c r="AU66" s="30">
        <f t="shared" si="6"/>
        <v>40</v>
      </c>
      <c r="AV66" s="31">
        <f t="shared" si="7"/>
        <v>46.423235178414842</v>
      </c>
      <c r="AW66" s="4">
        <f>IF(AND($C$4=$A66,AW$3&lt;&gt;""),AW$3,'EBA2017'!AW66)</f>
        <v>2.0000000000000004</v>
      </c>
      <c r="AX66" s="4" t="str">
        <f>IF(AND($C$4=$A66,AX$3&lt;&gt;""),AX$3,'EBA2017'!AX66)</f>
        <v>N/A</v>
      </c>
      <c r="AY66" s="4" t="str">
        <f>IF(AND($C$4=$A66,AY$3&lt;&gt;""),AY$3,'EBA2017'!AY66)</f>
        <v>N/A</v>
      </c>
      <c r="AZ66" s="4">
        <f>IF(AND($C$4=$A66,AZ$3&lt;&gt;""),AZ$3,'EBA2017'!AZ66)</f>
        <v>7.0000000000000009</v>
      </c>
      <c r="BA66" s="12">
        <f>IF(AND($C$4=$A66,BA$3&lt;&gt;""),BA$3,'EBA2017'!BA66)</f>
        <v>10</v>
      </c>
      <c r="BB66" s="4">
        <f>IF(AND($C$4=$A66,BB$3&lt;&gt;""),BB$3,'EBA2017'!BB66)</f>
        <v>3.1853779156556241</v>
      </c>
      <c r="BC66" s="30">
        <f t="shared" si="8"/>
        <v>29</v>
      </c>
      <c r="BD66" s="31">
        <f t="shared" si="9"/>
        <v>54.612068965517246</v>
      </c>
      <c r="BE66" s="4">
        <f>IF(AND($C$4=$A66,BE$3&lt;&gt;""),BE$3,'EBA2017'!BE66)</f>
        <v>15.000000000000002</v>
      </c>
      <c r="BF66" s="4">
        <f>IF(AND($C$4=$A66,BF$3&lt;&gt;""),BF$3,'EBA2017'!BF66)</f>
        <v>11.5</v>
      </c>
      <c r="BG66" s="30">
        <f t="shared" si="10"/>
        <v>43</v>
      </c>
      <c r="BH66" s="31">
        <f t="shared" si="11"/>
        <v>44.444444444444443</v>
      </c>
      <c r="BI66" s="4">
        <f>IF(AND($C$4=$A66,BI$3&lt;&gt;""),BI$3,'EBA2017'!BI66)</f>
        <v>4</v>
      </c>
    </row>
    <row r="67" spans="1:61" x14ac:dyDescent="0.2">
      <c r="A67" s="2" t="s">
        <v>138</v>
      </c>
      <c r="B67" s="3" t="s">
        <v>139</v>
      </c>
      <c r="C67" s="3" t="s">
        <v>21</v>
      </c>
      <c r="D67" s="3" t="s">
        <v>22</v>
      </c>
      <c r="E67" s="3" t="s">
        <v>40</v>
      </c>
      <c r="F67" s="3" t="s">
        <v>160</v>
      </c>
      <c r="G67" s="3" t="s">
        <v>158</v>
      </c>
      <c r="H67" s="30">
        <f t="shared" si="1"/>
        <v>9</v>
      </c>
      <c r="I67" s="31">
        <f>VLOOKUP($A67,'Seed Base Calc'!$A:$S,19,FALSE)</f>
        <v>76.463089099482048</v>
      </c>
      <c r="J67" s="4">
        <f>IF(AND($C$4=$A67,J$3&lt;&gt;""),J$3,'EBA2017'!J67)</f>
        <v>10</v>
      </c>
      <c r="K67" s="4">
        <f>IF(AND($C$4=$A67,K$3&lt;&gt;""),K$3,'EBA2017'!K67)</f>
        <v>4</v>
      </c>
      <c r="L67" s="4">
        <f>IF(AND($C$4=$A67,L$3&lt;&gt;""),L$3,'EBA2017'!L67)</f>
        <v>8.25</v>
      </c>
      <c r="M67" s="12">
        <f>IF(AND($C$4=$A67,M$3&lt;&gt;""),M$3,'EBA2017'!M67)</f>
        <v>305</v>
      </c>
      <c r="N67" s="4">
        <f>IF(AND($C$4=$A67,N$3&lt;&gt;""),N$3,'EBA2017'!N67)</f>
        <v>4.9781873335624134</v>
      </c>
      <c r="O67" s="30">
        <f t="shared" si="2"/>
        <v>24</v>
      </c>
      <c r="P67" s="31">
        <f>VLOOKUP($A67,'Fert Base Calc'!$A:$S,19,FALSE)</f>
        <v>65.884733763256534</v>
      </c>
      <c r="Q67" s="4">
        <f>IF(AND($C$4=$A67,Q$3&lt;&gt;""),Q$3,'EBA2017'!Q67)</f>
        <v>4</v>
      </c>
      <c r="R67" s="4">
        <f>IF(AND($C$4=$A67,R$3&lt;&gt;""),R$3,'EBA2017'!R67)</f>
        <v>4.5000000000000009</v>
      </c>
      <c r="S67" s="4">
        <f>IF(AND($C$4=$A67,S$3&lt;&gt;""),S$3,'EBA2017'!S67)</f>
        <v>3</v>
      </c>
      <c r="T67" s="12">
        <f>IF(AND($C$4=$A67,T$3&lt;&gt;""),T$3,'EBA2017'!T67)</f>
        <v>11</v>
      </c>
      <c r="U67" s="4">
        <f>IF(AND($C$4=$A67,U$3&lt;&gt;""),U$3,'EBA2017'!U67)</f>
        <v>12.632110608757793</v>
      </c>
      <c r="V67" s="30">
        <f t="shared" si="3"/>
        <v>56</v>
      </c>
      <c r="W67" s="31">
        <f>VLOOKUP($A67,'Mech Base Calc'!$A:$Z,24,FALSE)</f>
        <v>20</v>
      </c>
      <c r="X67" s="4">
        <f>IF(AND($C$4=$A67,X$3&lt;&gt;""),X$3,'EBA2017'!X67)</f>
        <v>0</v>
      </c>
      <c r="Y67" s="4">
        <f>IF(AND($C$4=$A67,Y$3&lt;&gt;""),Y$3,'EBA2017'!Y67)</f>
        <v>0</v>
      </c>
      <c r="Z67" s="4">
        <f>IF(AND($C$4=$A67,Z$3&lt;&gt;""),Z$3,'EBA2017'!Z67)</f>
        <v>5</v>
      </c>
      <c r="AA67" s="12" t="str">
        <f>IF(AND($C$4=$A67,AA$3&lt;&gt;""),AA$3,'EBA2017'!AA67)</f>
        <v>N/A</v>
      </c>
      <c r="AB67" s="4" t="str">
        <f>IF(AND($C$4=$A67,AB$3&lt;&gt;""),AB$3,'EBA2017'!AB67)</f>
        <v>N/A</v>
      </c>
      <c r="AC67" s="12" t="str">
        <f>IF(AND($C$4=$A67,AC$3&lt;&gt;""),AC$3,'EBA2017'!AC67)</f>
        <v>N/A</v>
      </c>
      <c r="AD67" s="4" t="str">
        <f>IF(AND($C$4=$A67,AD$3&lt;&gt;""),AD$3,'EBA2017'!AD67)</f>
        <v>N/A</v>
      </c>
      <c r="AE67" s="30">
        <f t="shared" si="4"/>
        <v>19</v>
      </c>
      <c r="AF67" s="31">
        <f>100*AVERAGE(IF(VLOOKUP(A67,'Data Gaps'!A:O,15,FALSE)="X",Calculator!AH67/4,AVERAGE(AG67/5,AH67/4)),AVERAGE(AI67/5,AJ67/8),IF(VLOOKUP(A67,'Data Gaps'!A:O,15,FALSE)="X",Calculator!AL67/7,AVERAGE(AK67/7,AL67/7)))</f>
        <v>59.071428571428577</v>
      </c>
      <c r="AG67" s="4">
        <f>IF(AND($C$4=$A67,AG$3&lt;&gt;""),AG$3,'EBA2017'!AG67)</f>
        <v>3.65</v>
      </c>
      <c r="AH67" s="4">
        <f>IF(AND($C$4=$A67,AH$3&lt;&gt;""),AH$3,'EBA2017'!AH67)</f>
        <v>3.5</v>
      </c>
      <c r="AI67" s="4">
        <f>IF(AND($C$4=$A67,AI$3&lt;&gt;""),AI$3,'EBA2017'!AI67)</f>
        <v>4.25</v>
      </c>
      <c r="AJ67" s="4">
        <f>IF(AND($C$4=$A67,AJ$3&lt;&gt;""),AJ$3,'EBA2017'!AJ67)</f>
        <v>3</v>
      </c>
      <c r="AK67" s="4">
        <f>IF(AND($C$4=$A67,AK$3&lt;&gt;""),AK$3,'EBA2017'!AK67)</f>
        <v>0</v>
      </c>
      <c r="AL67" s="4">
        <f>IF(AND($C$4=$A67,AL$3&lt;&gt;""),AL$3,'EBA2017'!AL67)</f>
        <v>5</v>
      </c>
      <c r="AM67" s="30">
        <f t="shared" si="5"/>
        <v>15</v>
      </c>
      <c r="AN67" s="31">
        <f>VLOOKUP($A67,'Mark Base Calc'!$A:$Z,21,FALSE)</f>
        <v>71.678819171058763</v>
      </c>
      <c r="AO67" s="4">
        <f>IF(AND($C$4=$A67,AO$3&lt;&gt;""),AO$3,'EBA2017'!AO67)</f>
        <v>10.1</v>
      </c>
      <c r="AP67" s="4">
        <f>IF(AND($C$4=$A67,AP$3&lt;&gt;""),AP$3,'EBA2017'!AP67)</f>
        <v>4.5</v>
      </c>
      <c r="AQ67" s="4">
        <f>IF(AND($C$4=$A67,AQ$3&lt;&gt;""),AQ$3,'EBA2017'!AQ67)</f>
        <v>5.5</v>
      </c>
      <c r="AR67" s="12">
        <f>IF(AND($C$4=$A67,AR$3&lt;&gt;""),AR$3,'EBA2017'!AR67)</f>
        <v>1</v>
      </c>
      <c r="AS67" s="12">
        <f>IF(AND($C$4=$A67,AS$3&lt;&gt;""),AS$3,'EBA2017'!AS67)</f>
        <v>2</v>
      </c>
      <c r="AT67" s="4">
        <f>IF(AND($C$4=$A67,AT$3&lt;&gt;""),AT$3,'EBA2017'!AT67)</f>
        <v>0.2486916581268519</v>
      </c>
      <c r="AU67" s="30">
        <f t="shared" si="6"/>
        <v>11</v>
      </c>
      <c r="AV67" s="31">
        <f t="shared" si="7"/>
        <v>72.334710005006073</v>
      </c>
      <c r="AW67" s="4">
        <f>IF(AND($C$4=$A67,AW$3&lt;&gt;""),AW$3,'EBA2017'!AW67)</f>
        <v>5.5</v>
      </c>
      <c r="AX67" s="4">
        <f>IF(AND($C$4=$A67,AX$3&lt;&gt;""),AX$3,'EBA2017'!AX67)</f>
        <v>2</v>
      </c>
      <c r="AY67" s="4">
        <f>IF(AND($C$4=$A67,AY$3&lt;&gt;""),AY$3,'EBA2017'!AY67)</f>
        <v>0</v>
      </c>
      <c r="AZ67" s="4">
        <f>IF(AND($C$4=$A67,AZ$3&lt;&gt;""),AZ$3,'EBA2017'!AZ67)</f>
        <v>5.9999999999999991</v>
      </c>
      <c r="BA67" s="12">
        <f>IF(AND($C$4=$A67,BA$3&lt;&gt;""),BA$3,'EBA2017'!BA67)</f>
        <v>32.5</v>
      </c>
      <c r="BB67" s="4">
        <f>IF(AND($C$4=$A67,BB$3&lt;&gt;""),BB$3,'EBA2017'!BB67)</f>
        <v>0</v>
      </c>
      <c r="BC67" s="30">
        <f t="shared" si="8"/>
        <v>25</v>
      </c>
      <c r="BD67" s="31">
        <f t="shared" si="9"/>
        <v>59.396551724137936</v>
      </c>
      <c r="BE67" s="4">
        <f>IF(AND($C$4=$A67,BE$3&lt;&gt;""),BE$3,'EBA2017'!BE67)</f>
        <v>18.5</v>
      </c>
      <c r="BF67" s="4">
        <f>IF(AND($C$4=$A67,BF$3&lt;&gt;""),BF$3,'EBA2017'!BF67)</f>
        <v>11</v>
      </c>
      <c r="BG67" s="30">
        <f t="shared" si="10"/>
        <v>37</v>
      </c>
      <c r="BH67" s="31">
        <f t="shared" si="11"/>
        <v>50</v>
      </c>
      <c r="BI67" s="4">
        <f>IF(AND($C$4=$A67,BI$3&lt;&gt;""),BI$3,'EBA2017'!BI67)</f>
        <v>4.5</v>
      </c>
    </row>
    <row r="68" spans="1:61" x14ac:dyDescent="0.2">
      <c r="A68" s="2" t="s">
        <v>140</v>
      </c>
      <c r="B68" s="3" t="s">
        <v>141</v>
      </c>
      <c r="C68" s="3" t="s">
        <v>32</v>
      </c>
      <c r="D68" s="3" t="s">
        <v>33</v>
      </c>
      <c r="E68" s="3" t="s">
        <v>9</v>
      </c>
      <c r="F68" s="3" t="s">
        <v>162</v>
      </c>
      <c r="G68" s="3" t="s">
        <v>158</v>
      </c>
      <c r="H68" s="30">
        <f t="shared" si="1"/>
        <v>43</v>
      </c>
      <c r="I68" s="31">
        <f>VLOOKUP($A68,'Seed Base Calc'!$A:$S,19,FALSE)</f>
        <v>48.305344709156643</v>
      </c>
      <c r="J68" s="4">
        <f>IF(AND($C$4=$A68,J$3&lt;&gt;""),J$3,'EBA2017'!J68)</f>
        <v>6</v>
      </c>
      <c r="K68" s="4">
        <f>IF(AND($C$4=$A68,K$3&lt;&gt;""),K$3,'EBA2017'!K68)</f>
        <v>5</v>
      </c>
      <c r="L68" s="4">
        <f>IF(AND($C$4=$A68,L$3&lt;&gt;""),L$3,'EBA2017'!L68)</f>
        <v>5</v>
      </c>
      <c r="M68" s="12">
        <f>IF(AND($C$4=$A68,M$3&lt;&gt;""),M$3,'EBA2017'!M68)</f>
        <v>901</v>
      </c>
      <c r="N68" s="4">
        <f>IF(AND($C$4=$A68,N$3&lt;&gt;""),N$3,'EBA2017'!N68)</f>
        <v>406.21881409881706</v>
      </c>
      <c r="O68" s="30">
        <f t="shared" si="2"/>
        <v>11</v>
      </c>
      <c r="P68" s="31">
        <f>VLOOKUP($A68,'Fert Base Calc'!$A:$S,19,FALSE)</f>
        <v>74.870468295422683</v>
      </c>
      <c r="Q68" s="4">
        <f>IF(AND($C$4=$A68,Q$3&lt;&gt;""),Q$3,'EBA2017'!Q68)</f>
        <v>6</v>
      </c>
      <c r="R68" s="4">
        <f>IF(AND($C$4=$A68,R$3&lt;&gt;""),R$3,'EBA2017'!R68)</f>
        <v>5</v>
      </c>
      <c r="S68" s="4">
        <f>IF(AND($C$4=$A68,S$3&lt;&gt;""),S$3,'EBA2017'!S68)</f>
        <v>3</v>
      </c>
      <c r="T68" s="12">
        <f>IF(AND($C$4=$A68,T$3&lt;&gt;""),T$3,'EBA2017'!T68)</f>
        <v>15</v>
      </c>
      <c r="U68" s="4">
        <f>IF(AND($C$4=$A68,U$3&lt;&gt;""),U$3,'EBA2017'!U68)</f>
        <v>5.1767676767676765</v>
      </c>
      <c r="V68" s="30">
        <f t="shared" si="3"/>
        <v>10</v>
      </c>
      <c r="W68" s="31">
        <f>VLOOKUP($A68,'Mech Base Calc'!$A:$Z,24,FALSE)</f>
        <v>74.182919577855571</v>
      </c>
      <c r="X68" s="4">
        <f>IF(AND($C$4=$A68,X$3&lt;&gt;""),X$3,'EBA2017'!X68)</f>
        <v>2</v>
      </c>
      <c r="Y68" s="4">
        <f>IF(AND($C$4=$A68,Y$3&lt;&gt;""),Y$3,'EBA2017'!Y68)</f>
        <v>4.333333333333333</v>
      </c>
      <c r="Z68" s="4">
        <f>IF(AND($C$4=$A68,Z$3&lt;&gt;""),Z$3,'EBA2017'!Z68)</f>
        <v>5</v>
      </c>
      <c r="AA68" s="12">
        <f>IF(AND($C$4=$A68,AA$3&lt;&gt;""),AA$3,'EBA2017'!AA68)</f>
        <v>11</v>
      </c>
      <c r="AB68" s="4">
        <f>IF(AND($C$4=$A68,AB$3&lt;&gt;""),AB$3,'EBA2017'!AB68)</f>
        <v>0.46372010741874092</v>
      </c>
      <c r="AC68" s="12">
        <f>IF(AND($C$4=$A68,AC$3&lt;&gt;""),AC$3,'EBA2017'!AC68)</f>
        <v>10</v>
      </c>
      <c r="AD68" s="4">
        <f>IF(AND($C$4=$A68,AD$3&lt;&gt;""),AD$3,'EBA2017'!AD68)</f>
        <v>3.4779008056405569</v>
      </c>
      <c r="AE68" s="30">
        <f t="shared" si="4"/>
        <v>30</v>
      </c>
      <c r="AF68" s="31">
        <f>100*AVERAGE(IF(VLOOKUP(A68,'Data Gaps'!A:O,15,FALSE)="X",Calculator!AH68/4,AVERAGE(AG68/5,AH68/4)),AVERAGE(AI68/5,AJ68/8),IF(VLOOKUP(A68,'Data Gaps'!A:O,15,FALSE)="X",Calculator!AL68/7,AVERAGE(AK68/7,AL68/7)))</f>
        <v>51.19047619047619</v>
      </c>
      <c r="AG68" s="4">
        <f>IF(AND($C$4=$A68,AG$3&lt;&gt;""),AG$3,'EBA2017'!AG68)</f>
        <v>0</v>
      </c>
      <c r="AH68" s="4">
        <f>IF(AND($C$4=$A68,AH$3&lt;&gt;""),AH$3,'EBA2017'!AH68)</f>
        <v>3</v>
      </c>
      <c r="AI68" s="4">
        <f>IF(AND($C$4=$A68,AI$3&lt;&gt;""),AI$3,'EBA2017'!AI68)</f>
        <v>0</v>
      </c>
      <c r="AJ68" s="4">
        <f>IF(AND($C$4=$A68,AJ$3&lt;&gt;""),AJ$3,'EBA2017'!AJ68)</f>
        <v>6</v>
      </c>
      <c r="AK68" s="4">
        <f>IF(AND($C$4=$A68,AK$3&lt;&gt;""),AK$3,'EBA2017'!AK68)</f>
        <v>5</v>
      </c>
      <c r="AL68" s="4">
        <f>IF(AND($C$4=$A68,AL$3&lt;&gt;""),AL$3,'EBA2017'!AL68)</f>
        <v>6</v>
      </c>
      <c r="AM68" s="30">
        <f t="shared" si="5"/>
        <v>31</v>
      </c>
      <c r="AN68" s="31">
        <f>VLOOKUP($A68,'Mark Base Calc'!$A:$Z,21,FALSE)</f>
        <v>58.339757779851688</v>
      </c>
      <c r="AO68" s="4">
        <f>IF(AND($C$4=$A68,AO$3&lt;&gt;""),AO$3,'EBA2017'!AO68)</f>
        <v>8.3000000000000007</v>
      </c>
      <c r="AP68" s="4">
        <f>IF(AND($C$4=$A68,AP$3&lt;&gt;""),AP$3,'EBA2017'!AP68)</f>
        <v>5.5</v>
      </c>
      <c r="AQ68" s="4">
        <f>IF(AND($C$4=$A68,AQ$3&lt;&gt;""),AQ$3,'EBA2017'!AQ68)</f>
        <v>3.5</v>
      </c>
      <c r="AR68" s="12">
        <f>IF(AND($C$4=$A68,AR$3&lt;&gt;""),AR$3,'EBA2017'!AR68)</f>
        <v>2</v>
      </c>
      <c r="AS68" s="12">
        <f>IF(AND($C$4=$A68,AS$3&lt;&gt;""),AS$3,'EBA2017'!AS68)</f>
        <v>3</v>
      </c>
      <c r="AT68" s="4">
        <f>IF(AND($C$4=$A68,AT$3&lt;&gt;""),AT$3,'EBA2017'!AT68)</f>
        <v>1.9429872500845244</v>
      </c>
      <c r="AU68" s="30">
        <f t="shared" si="6"/>
        <v>7</v>
      </c>
      <c r="AV68" s="31">
        <f t="shared" si="7"/>
        <v>79.991651540549967</v>
      </c>
      <c r="AW68" s="4">
        <f>IF(AND($C$4=$A68,AW$3&lt;&gt;""),AW$3,'EBA2017'!AW68)</f>
        <v>5</v>
      </c>
      <c r="AX68" s="4">
        <f>IF(AND($C$4=$A68,AX$3&lt;&gt;""),AX$3,'EBA2017'!AX68)</f>
        <v>3</v>
      </c>
      <c r="AY68" s="4">
        <f>IF(AND($C$4=$A68,AY$3&lt;&gt;""),AY$3,'EBA2017'!AY68)</f>
        <v>0.46372010741874092</v>
      </c>
      <c r="AZ68" s="4">
        <f>IF(AND($C$4=$A68,AZ$3&lt;&gt;""),AZ$3,'EBA2017'!AZ68)</f>
        <v>7.0000000000000009</v>
      </c>
      <c r="BA68" s="12">
        <f>IF(AND($C$4=$A68,BA$3&lt;&gt;""),BA$3,'EBA2017'!BA68)</f>
        <v>2</v>
      </c>
      <c r="BB68" s="4">
        <f>IF(AND($C$4=$A68,BB$3&lt;&gt;""),BB$3,'EBA2017'!BB68)</f>
        <v>0.51009211816061506</v>
      </c>
      <c r="BC68" s="30">
        <f t="shared" si="8"/>
        <v>27</v>
      </c>
      <c r="BD68" s="31">
        <f t="shared" si="9"/>
        <v>58.534482758620697</v>
      </c>
      <c r="BE68" s="4">
        <f>IF(AND($C$4=$A68,BE$3&lt;&gt;""),BE$3,'EBA2017'!BE68)</f>
        <v>18</v>
      </c>
      <c r="BF68" s="4">
        <f>IF(AND($C$4=$A68,BF$3&lt;&gt;""),BF$3,'EBA2017'!BF68)</f>
        <v>11</v>
      </c>
      <c r="BG68" s="30">
        <f t="shared" si="10"/>
        <v>12</v>
      </c>
      <c r="BH68" s="31">
        <f t="shared" si="11"/>
        <v>77.777777777777786</v>
      </c>
      <c r="BI68" s="4">
        <f>IF(AND($C$4=$A68,BI$3&lt;&gt;""),BI$3,'EBA2017'!BI68)</f>
        <v>7.0000000000000009</v>
      </c>
    </row>
    <row r="69" spans="1:61" x14ac:dyDescent="0.2">
      <c r="A69" s="2" t="s">
        <v>142</v>
      </c>
      <c r="B69" s="3" t="s">
        <v>143</v>
      </c>
      <c r="C69" s="3" t="s">
        <v>16</v>
      </c>
      <c r="D69" s="3" t="s">
        <v>17</v>
      </c>
      <c r="E69" s="3" t="s">
        <v>9</v>
      </c>
      <c r="F69" s="3" t="s">
        <v>162</v>
      </c>
      <c r="G69" s="3" t="s">
        <v>158</v>
      </c>
      <c r="H69" s="30">
        <f t="shared" si="1"/>
        <v>16</v>
      </c>
      <c r="I69" s="31">
        <f>VLOOKUP($A69,'Seed Base Calc'!$A:$S,19,FALSE)</f>
        <v>69.356074397585388</v>
      </c>
      <c r="J69" s="4">
        <f>IF(AND($C$4=$A69,J$3&lt;&gt;""),J$3,'EBA2017'!J69)</f>
        <v>8</v>
      </c>
      <c r="K69" s="4">
        <f>IF(AND($C$4=$A69,K$3&lt;&gt;""),K$3,'EBA2017'!K69)</f>
        <v>5.5</v>
      </c>
      <c r="L69" s="4">
        <f>IF(AND($C$4=$A69,L$3&lt;&gt;""),L$3,'EBA2017'!L69)</f>
        <v>8</v>
      </c>
      <c r="M69" s="12">
        <f>IF(AND($C$4=$A69,M$3&lt;&gt;""),M$3,'EBA2017'!M69)</f>
        <v>544</v>
      </c>
      <c r="N69" s="4">
        <f>IF(AND($C$4=$A69,N$3&lt;&gt;""),N$3,'EBA2017'!N69)</f>
        <v>70.134228187919462</v>
      </c>
      <c r="O69" s="30">
        <f t="shared" si="2"/>
        <v>39</v>
      </c>
      <c r="P69" s="31">
        <f>VLOOKUP($A69,'Fert Base Calc'!$A:$S,19,FALSE)</f>
        <v>52.287108936866701</v>
      </c>
      <c r="Q69" s="4">
        <f>IF(AND($C$4=$A69,Q$3&lt;&gt;""),Q$3,'EBA2017'!Q69)</f>
        <v>2.8999999999999995</v>
      </c>
      <c r="R69" s="4">
        <f>IF(AND($C$4=$A69,R$3&lt;&gt;""),R$3,'EBA2017'!R69)</f>
        <v>3.5</v>
      </c>
      <c r="S69" s="4">
        <f>IF(AND($C$4=$A69,S$3&lt;&gt;""),S$3,'EBA2017'!S69)</f>
        <v>2.5000000000000004</v>
      </c>
      <c r="T69" s="12">
        <f>IF(AND($C$4=$A69,T$3&lt;&gt;""),T$3,'EBA2017'!T69)</f>
        <v>210</v>
      </c>
      <c r="U69" s="4">
        <f>IF(AND($C$4=$A69,U$3&lt;&gt;""),U$3,'EBA2017'!U69)</f>
        <v>226.58879292341911</v>
      </c>
      <c r="V69" s="30">
        <f t="shared" si="3"/>
        <v>46</v>
      </c>
      <c r="W69" s="31">
        <f>VLOOKUP($A69,'Mech Base Calc'!$A:$Z,24,FALSE)</f>
        <v>35.011880279851596</v>
      </c>
      <c r="X69" s="4">
        <f>IF(AND($C$4=$A69,X$3&lt;&gt;""),X$3,'EBA2017'!X69)</f>
        <v>0.5</v>
      </c>
      <c r="Y69" s="4">
        <f>IF(AND($C$4=$A69,Y$3&lt;&gt;""),Y$3,'EBA2017'!Y69)</f>
        <v>0.33333333333333326</v>
      </c>
      <c r="Z69" s="4">
        <f>IF(AND($C$4=$A69,Z$3&lt;&gt;""),Z$3,'EBA2017'!Z69)</f>
        <v>5</v>
      </c>
      <c r="AA69" s="12" t="str">
        <f>IF(AND($C$4=$A69,AA$3&lt;&gt;""),AA$3,'EBA2017'!AA69)</f>
        <v>N/A</v>
      </c>
      <c r="AB69" s="4" t="str">
        <f>IF(AND($C$4=$A69,AB$3&lt;&gt;""),AB$3,'EBA2017'!AB69)</f>
        <v>N/A</v>
      </c>
      <c r="AC69" s="12">
        <f>IF(AND($C$4=$A69,AC$3&lt;&gt;""),AC$3,'EBA2017'!AC69)</f>
        <v>16</v>
      </c>
      <c r="AD69" s="4">
        <f>IF(AND($C$4=$A69,AD$3&lt;&gt;""),AD$3,'EBA2017'!AD69)</f>
        <v>7.6096591854960982</v>
      </c>
      <c r="AE69" s="30">
        <f t="shared" si="4"/>
        <v>14</v>
      </c>
      <c r="AF69" s="31">
        <f>100*AVERAGE(IF(VLOOKUP(A69,'Data Gaps'!A:O,15,FALSE)="X",Calculator!AH69/4,AVERAGE(AG69/5,AH69/4)),AVERAGE(AI69/5,AJ69/8),IF(VLOOKUP(A69,'Data Gaps'!A:O,15,FALSE)="X",Calculator!AL69/7,AVERAGE(AK69/7,AL69/7)))</f>
        <v>66.220238095238088</v>
      </c>
      <c r="AG69" s="4">
        <f>IF(AND($C$4=$A69,AG$3&lt;&gt;""),AG$3,'EBA2017'!AG69)</f>
        <v>0</v>
      </c>
      <c r="AH69" s="4">
        <f>IF(AND($C$4=$A69,AH$3&lt;&gt;""),AH$3,'EBA2017'!AH69)</f>
        <v>3.75</v>
      </c>
      <c r="AI69" s="4">
        <f>IF(AND($C$4=$A69,AI$3&lt;&gt;""),AI$3,'EBA2017'!AI69)</f>
        <v>5</v>
      </c>
      <c r="AJ69" s="4">
        <f>IF(AND($C$4=$A69,AJ$3&lt;&gt;""),AJ$3,'EBA2017'!AJ69)</f>
        <v>6</v>
      </c>
      <c r="AK69" s="4">
        <f>IF(AND($C$4=$A69,AK$3&lt;&gt;""),AK$3,'EBA2017'!AK69)</f>
        <v>5</v>
      </c>
      <c r="AL69" s="4">
        <f>IF(AND($C$4=$A69,AL$3&lt;&gt;""),AL$3,'EBA2017'!AL69)</f>
        <v>4</v>
      </c>
      <c r="AM69" s="30">
        <f t="shared" si="5"/>
        <v>50</v>
      </c>
      <c r="AN69" s="31">
        <f>VLOOKUP($A69,'Mark Base Calc'!$A:$Z,21,FALSE)</f>
        <v>45.923390298995635</v>
      </c>
      <c r="AO69" s="4">
        <f>IF(AND($C$4=$A69,AO$3&lt;&gt;""),AO$3,'EBA2017'!AO69)</f>
        <v>10.25</v>
      </c>
      <c r="AP69" s="4">
        <f>IF(AND($C$4=$A69,AP$3&lt;&gt;""),AP$3,'EBA2017'!AP69)</f>
        <v>2</v>
      </c>
      <c r="AQ69" s="4">
        <f>IF(AND($C$4=$A69,AQ$3&lt;&gt;""),AQ$3,'EBA2017'!AQ69)</f>
        <v>5</v>
      </c>
      <c r="AR69" s="12">
        <f>IF(AND($C$4=$A69,AR$3&lt;&gt;""),AR$3,'EBA2017'!AR69)</f>
        <v>4</v>
      </c>
      <c r="AS69" s="12">
        <f>IF(AND($C$4=$A69,AS$3&lt;&gt;""),AS$3,'EBA2017'!AS69)</f>
        <v>9</v>
      </c>
      <c r="AT69" s="4">
        <f>IF(AND($C$4=$A69,AT$3&lt;&gt;""),AT$3,'EBA2017'!AT69)</f>
        <v>2.3724231578311361</v>
      </c>
      <c r="AU69" s="30">
        <f t="shared" si="6"/>
        <v>23</v>
      </c>
      <c r="AV69" s="31">
        <f t="shared" si="7"/>
        <v>66.593894882486111</v>
      </c>
      <c r="AW69" s="4">
        <f>IF(AND($C$4=$A69,AW$3&lt;&gt;""),AW$3,'EBA2017'!AW69)</f>
        <v>4.5000000000000009</v>
      </c>
      <c r="AX69" s="4">
        <f>IF(AND($C$4=$A69,AX$3&lt;&gt;""),AX$3,'EBA2017'!AX69)</f>
        <v>45.5</v>
      </c>
      <c r="AY69" s="4">
        <f>IF(AND($C$4=$A69,AY$3&lt;&gt;""),AY$3,'EBA2017'!AY69)</f>
        <v>4.1897888221319697</v>
      </c>
      <c r="AZ69" s="4">
        <f>IF(AND($C$4=$A69,AZ$3&lt;&gt;""),AZ$3,'EBA2017'!AZ69)</f>
        <v>5.9999999999999991</v>
      </c>
      <c r="BA69" s="12">
        <f>IF(AND($C$4=$A69,BA$3&lt;&gt;""),BA$3,'EBA2017'!BA69)</f>
        <v>1</v>
      </c>
      <c r="BB69" s="4">
        <f>IF(AND($C$4=$A69,BB$3&lt;&gt;""),BB$3,'EBA2017'!BB69)</f>
        <v>7.7743859255115426</v>
      </c>
      <c r="BC69" s="30">
        <f t="shared" si="8"/>
        <v>16</v>
      </c>
      <c r="BD69" s="31">
        <f t="shared" si="9"/>
        <v>67.931034482758605</v>
      </c>
      <c r="BE69" s="4">
        <f>IF(AND($C$4=$A69,BE$3&lt;&gt;""),BE$3,'EBA2017'!BE69)</f>
        <v>22</v>
      </c>
      <c r="BF69" s="4">
        <f>IF(AND($C$4=$A69,BF$3&lt;&gt;""),BF$3,'EBA2017'!BF69)</f>
        <v>12</v>
      </c>
      <c r="BG69" s="30">
        <f t="shared" si="10"/>
        <v>22</v>
      </c>
      <c r="BH69" s="31">
        <f t="shared" si="11"/>
        <v>61.111111111111114</v>
      </c>
      <c r="BI69" s="4">
        <f>IF(AND($C$4=$A69,BI$3&lt;&gt;""),BI$3,'EBA2017'!BI69)</f>
        <v>5.5</v>
      </c>
    </row>
    <row r="70" spans="1:61" x14ac:dyDescent="0.2">
      <c r="A70" s="2" t="s">
        <v>144</v>
      </c>
      <c r="B70" s="3" t="s">
        <v>145</v>
      </c>
      <c r="C70" s="3" t="s">
        <v>16</v>
      </c>
      <c r="D70" s="3" t="s">
        <v>17</v>
      </c>
      <c r="E70" s="3" t="s">
        <v>18</v>
      </c>
      <c r="F70" s="3" t="s">
        <v>160</v>
      </c>
      <c r="G70" s="3" t="s">
        <v>158</v>
      </c>
      <c r="H70" s="30">
        <f t="shared" si="1"/>
        <v>15</v>
      </c>
      <c r="I70" s="31">
        <f>VLOOKUP($A70,'Seed Base Calc'!$A:$S,19,FALSE)</f>
        <v>69.65117903603479</v>
      </c>
      <c r="J70" s="4">
        <f>IF(AND($C$4=$A70,J$3&lt;&gt;""),J$3,'EBA2017'!J70)</f>
        <v>10</v>
      </c>
      <c r="K70" s="4">
        <f>IF(AND($C$4=$A70,K$3&lt;&gt;""),K$3,'EBA2017'!K70)</f>
        <v>4</v>
      </c>
      <c r="L70" s="4">
        <f>IF(AND($C$4=$A70,L$3&lt;&gt;""),L$3,'EBA2017'!L70)</f>
        <v>8.5</v>
      </c>
      <c r="M70" s="12">
        <f>IF(AND($C$4=$A70,M$3&lt;&gt;""),M$3,'EBA2017'!M70)</f>
        <v>607</v>
      </c>
      <c r="N70" s="4">
        <f>IF(AND($C$4=$A70,N$3&lt;&gt;""),N$3,'EBA2017'!N70)</f>
        <v>41.17647058823529</v>
      </c>
      <c r="O70" s="30">
        <f t="shared" si="2"/>
        <v>29</v>
      </c>
      <c r="P70" s="31">
        <f>VLOOKUP($A70,'Fert Base Calc'!$A:$S,19,FALSE)</f>
        <v>61.855103487157706</v>
      </c>
      <c r="Q70" s="4">
        <f>IF(AND($C$4=$A70,Q$3&lt;&gt;""),Q$3,'EBA2017'!Q70)</f>
        <v>4.4000000000000004</v>
      </c>
      <c r="R70" s="4">
        <f>IF(AND($C$4=$A70,R$3&lt;&gt;""),R$3,'EBA2017'!R70)</f>
        <v>3</v>
      </c>
      <c r="S70" s="4">
        <f>IF(AND($C$4=$A70,S$3&lt;&gt;""),S$3,'EBA2017'!S70)</f>
        <v>3</v>
      </c>
      <c r="T70" s="12">
        <f>IF(AND($C$4=$A70,T$3&lt;&gt;""),T$3,'EBA2017'!T70)</f>
        <v>15</v>
      </c>
      <c r="U70" s="4">
        <f>IF(AND($C$4=$A70,U$3&lt;&gt;""),U$3,'EBA2017'!U70)</f>
        <v>15.882352941176469</v>
      </c>
      <c r="V70" s="30">
        <f t="shared" si="3"/>
        <v>20</v>
      </c>
      <c r="W70" s="31">
        <f>VLOOKUP($A70,'Mech Base Calc'!$A:$Z,24,FALSE)</f>
        <v>59.811303893299218</v>
      </c>
      <c r="X70" s="4">
        <f>IF(AND($C$4=$A70,X$3&lt;&gt;""),X$3,'EBA2017'!X70)</f>
        <v>4.5</v>
      </c>
      <c r="Y70" s="4">
        <f>IF(AND($C$4=$A70,Y$3&lt;&gt;""),Y$3,'EBA2017'!Y70)</f>
        <v>4.6666666666666661</v>
      </c>
      <c r="Z70" s="4">
        <f>IF(AND($C$4=$A70,Z$3&lt;&gt;""),Z$3,'EBA2017'!Z70)</f>
        <v>4</v>
      </c>
      <c r="AA70" s="12" t="str">
        <f>IF(AND($C$4=$A70,AA$3&lt;&gt;""),AA$3,'EBA2017'!AA70)</f>
        <v>N/A</v>
      </c>
      <c r="AB70" s="4" t="str">
        <f>IF(AND($C$4=$A70,AB$3&lt;&gt;""),AB$3,'EBA2017'!AB70)</f>
        <v>N/A</v>
      </c>
      <c r="AC70" s="12">
        <f>IF(AND($C$4=$A70,AC$3&lt;&gt;""),AC$3,'EBA2017'!AC70)</f>
        <v>3</v>
      </c>
      <c r="AD70" s="4">
        <f>IF(AND($C$4=$A70,AD$3&lt;&gt;""),AD$3,'EBA2017'!AD70)</f>
        <v>18.823529411764707</v>
      </c>
      <c r="AE70" s="30">
        <f t="shared" si="4"/>
        <v>49</v>
      </c>
      <c r="AF70" s="31">
        <f>100*AVERAGE(IF(VLOOKUP(A70,'Data Gaps'!A:O,15,FALSE)="X",Calculator!AH70/4,AVERAGE(AG70/5,AH70/4)),AVERAGE(AI70/5,AJ70/8),IF(VLOOKUP(A70,'Data Gaps'!A:O,15,FALSE)="X",Calculator!AL70/7,AVERAGE(AK70/7,AL70/7)))</f>
        <v>38.75</v>
      </c>
      <c r="AG70" s="4">
        <f>IF(AND($C$4=$A70,AG$3&lt;&gt;""),AG$3,'EBA2017'!AG70)</f>
        <v>0</v>
      </c>
      <c r="AH70" s="4">
        <f>IF(AND($C$4=$A70,AH$3&lt;&gt;""),AH$3,'EBA2017'!AH70)</f>
        <v>0</v>
      </c>
      <c r="AI70" s="4">
        <f>IF(AND($C$4=$A70,AI$3&lt;&gt;""),AI$3,'EBA2017'!AI70)</f>
        <v>3.5</v>
      </c>
      <c r="AJ70" s="4">
        <f>IF(AND($C$4=$A70,AJ$3&lt;&gt;""),AJ$3,'EBA2017'!AJ70)</f>
        <v>5</v>
      </c>
      <c r="AK70" s="4">
        <f>IF(AND($C$4=$A70,AK$3&lt;&gt;""),AK$3,'EBA2017'!AK70)</f>
        <v>4</v>
      </c>
      <c r="AL70" s="4">
        <f>IF(AND($C$4=$A70,AL$3&lt;&gt;""),AL$3,'EBA2017'!AL70)</f>
        <v>3</v>
      </c>
      <c r="AM70" s="30">
        <f t="shared" si="5"/>
        <v>42</v>
      </c>
      <c r="AN70" s="31">
        <f>VLOOKUP($A70,'Mark Base Calc'!$A:$Z,21,FALSE)</f>
        <v>52.986251347584556</v>
      </c>
      <c r="AO70" s="4">
        <f>IF(AND($C$4=$A70,AO$3&lt;&gt;""),AO$3,'EBA2017'!AO70)</f>
        <v>7.5</v>
      </c>
      <c r="AP70" s="4">
        <f>IF(AND($C$4=$A70,AP$3&lt;&gt;""),AP$3,'EBA2017'!AP70)</f>
        <v>2</v>
      </c>
      <c r="AQ70" s="4" t="str">
        <f>IF(AND($C$4=$A70,AQ$3&lt;&gt;""),AQ$3,'EBA2017'!AQ70)</f>
        <v>No data</v>
      </c>
      <c r="AR70" s="12">
        <f>IF(AND($C$4=$A70,AR$3&lt;&gt;""),AR$3,'EBA2017'!AR70)</f>
        <v>1</v>
      </c>
      <c r="AS70" s="12" t="str">
        <f>IF(AND($C$4=$A70,AS$3&lt;&gt;""),AS$3,'EBA2017'!AS70)</f>
        <v>No data</v>
      </c>
      <c r="AT70" s="4">
        <f>IF(AND($C$4=$A70,AT$3&lt;&gt;""),AT$3,'EBA2017'!AT70)</f>
        <v>1.1764705882352942</v>
      </c>
      <c r="AU70" s="30">
        <f t="shared" si="6"/>
        <v>29</v>
      </c>
      <c r="AV70" s="31">
        <f t="shared" si="7"/>
        <v>62.265605313363004</v>
      </c>
      <c r="AW70" s="4">
        <f>IF(AND($C$4=$A70,AW$3&lt;&gt;""),AW$3,'EBA2017'!AW70)</f>
        <v>5.5</v>
      </c>
      <c r="AX70" s="4">
        <f>IF(AND($C$4=$A70,AX$3&lt;&gt;""),AX$3,'EBA2017'!AX70)</f>
        <v>5</v>
      </c>
      <c r="AY70" s="4">
        <f>IF(AND($C$4=$A70,AY$3&lt;&gt;""),AY$3,'EBA2017'!AY70)</f>
        <v>14.705882352941178</v>
      </c>
      <c r="AZ70" s="4">
        <f>IF(AND($C$4=$A70,AZ$3&lt;&gt;""),AZ$3,'EBA2017'!AZ70)</f>
        <v>4</v>
      </c>
      <c r="BA70" s="12">
        <f>IF(AND($C$4=$A70,BA$3&lt;&gt;""),BA$3,'EBA2017'!BA70)</f>
        <v>7</v>
      </c>
      <c r="BB70" s="4">
        <f>IF(AND($C$4=$A70,BB$3&lt;&gt;""),BB$3,'EBA2017'!BB70)</f>
        <v>17.647058823529413</v>
      </c>
      <c r="BC70" s="30">
        <f t="shared" si="8"/>
        <v>31</v>
      </c>
      <c r="BD70" s="31">
        <f t="shared" si="9"/>
        <v>52.28448275862069</v>
      </c>
      <c r="BE70" s="4">
        <f>IF(AND($C$4=$A70,BE$3&lt;&gt;""),BE$3,'EBA2017'!BE70)</f>
        <v>18</v>
      </c>
      <c r="BF70" s="4">
        <f>IF(AND($C$4=$A70,BF$3&lt;&gt;""),BF$3,'EBA2017'!BF70)</f>
        <v>8.5</v>
      </c>
      <c r="BG70" s="30">
        <f t="shared" si="10"/>
        <v>52</v>
      </c>
      <c r="BH70" s="31">
        <f t="shared" si="11"/>
        <v>38.888888888888893</v>
      </c>
      <c r="BI70" s="4">
        <f>IF(AND($C$4=$A70,BI$3&lt;&gt;""),BI$3,'EBA2017'!BI70)</f>
        <v>3.5000000000000004</v>
      </c>
    </row>
  </sheetData>
  <mergeCells count="17">
    <mergeCell ref="AM1:AT1"/>
    <mergeCell ref="AU1:BB1"/>
    <mergeCell ref="BG7:BI7"/>
    <mergeCell ref="BC1:BF1"/>
    <mergeCell ref="BG1:BI1"/>
    <mergeCell ref="A7:G7"/>
    <mergeCell ref="H7:N7"/>
    <mergeCell ref="O7:U7"/>
    <mergeCell ref="V7:AD7"/>
    <mergeCell ref="AE7:AL7"/>
    <mergeCell ref="AM7:AT7"/>
    <mergeCell ref="AU7:BB7"/>
    <mergeCell ref="BC7:BF7"/>
    <mergeCell ref="H1:N1"/>
    <mergeCell ref="O1:U1"/>
    <mergeCell ref="V1:AD1"/>
    <mergeCell ref="AE1:AL1"/>
  </mergeCells>
  <conditionalFormatting sqref="J3">
    <cfRule type="expression" dxfId="10" priority="11">
      <formula>J$3&gt;J$6</formula>
    </cfRule>
  </conditionalFormatting>
  <conditionalFormatting sqref="BI3">
    <cfRule type="expression" dxfId="9" priority="1">
      <formula>BI$3&gt;BI$6</formula>
    </cfRule>
  </conditionalFormatting>
  <conditionalFormatting sqref="K3:L3">
    <cfRule type="expression" dxfId="8" priority="10">
      <formula>K$3&gt;K$6</formula>
    </cfRule>
  </conditionalFormatting>
  <conditionalFormatting sqref="Q3:S3">
    <cfRule type="expression" dxfId="7" priority="9">
      <formula>Q$3&gt;Q$6</formula>
    </cfRule>
  </conditionalFormatting>
  <conditionalFormatting sqref="X3:Z3">
    <cfRule type="expression" dxfId="6" priority="8">
      <formula>X$3&gt;X$6</formula>
    </cfRule>
  </conditionalFormatting>
  <conditionalFormatting sqref="AG3:AL3">
    <cfRule type="expression" dxfId="5" priority="7">
      <formula>AG$3&gt;AG$6</formula>
    </cfRule>
  </conditionalFormatting>
  <conditionalFormatting sqref="AO3:AQ3">
    <cfRule type="expression" dxfId="4" priority="6">
      <formula>AO$3&gt;AO$6</formula>
    </cfRule>
  </conditionalFormatting>
  <conditionalFormatting sqref="AW3">
    <cfRule type="expression" dxfId="3" priority="5">
      <formula>AW$3&gt;AW$6</formula>
    </cfRule>
  </conditionalFormatting>
  <conditionalFormatting sqref="AZ3">
    <cfRule type="expression" dxfId="2" priority="4">
      <formula>AZ$3&gt;AZ$6</formula>
    </cfRule>
  </conditionalFormatting>
  <conditionalFormatting sqref="BE3">
    <cfRule type="expression" dxfId="1" priority="3">
      <formula>BE$3&gt;BE$6</formula>
    </cfRule>
  </conditionalFormatting>
  <conditionalFormatting sqref="BF3">
    <cfRule type="expression" dxfId="0" priority="2">
      <formula>BF$3&gt;BF$6</formula>
    </cfRule>
  </conditionalFormatting>
  <dataValidations count="2">
    <dataValidation type="list" allowBlank="1" showInputMessage="1" showErrorMessage="1" sqref="B4">
      <formula1>$B$9:$B$70</formula1>
    </dataValidation>
    <dataValidation allowBlank="1" showInputMessage="1" showErrorMessage="1" promptTitle="Values must be between 0 and 10" sqref="J3"/>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0"/>
  <sheetViews>
    <sheetView zoomScaleNormal="100" workbookViewId="0">
      <pane xSplit="7" ySplit="8" topLeftCell="H9" activePane="bottomRight" state="frozen"/>
      <selection pane="topRight" activeCell="H1" sqref="H1"/>
      <selection pane="bottomLeft" activeCell="A9" sqref="A9"/>
      <selection pane="bottomRight" activeCell="H13" sqref="H13"/>
    </sheetView>
  </sheetViews>
  <sheetFormatPr defaultColWidth="9.1796875" defaultRowHeight="10" x14ac:dyDescent="0.2"/>
  <cols>
    <col min="1" max="1" width="9.1796875" style="1"/>
    <col min="2" max="2" width="17" style="1" customWidth="1"/>
    <col min="3" max="7" width="9.1796875" style="1"/>
    <col min="8" max="8" width="9.26953125" style="1" customWidth="1"/>
    <col min="9" max="9" width="9.26953125" style="15" customWidth="1"/>
    <col min="10" max="10" width="9.26953125" style="1" customWidth="1"/>
    <col min="11" max="11" width="10.453125" style="1" customWidth="1"/>
    <col min="12" max="12" width="9.26953125" style="1" bestFit="1" customWidth="1"/>
    <col min="13" max="13" width="11.1796875" style="18" bestFit="1" customWidth="1"/>
    <col min="14" max="14" width="12.1796875" style="1" bestFit="1" customWidth="1"/>
    <col min="15" max="15" width="9.26953125" style="1" customWidth="1"/>
    <col min="16" max="16" width="9.26953125" style="15" bestFit="1" customWidth="1"/>
    <col min="17" max="17" width="9.26953125" style="1" customWidth="1"/>
    <col min="18" max="19" width="9.26953125" style="1" bestFit="1" customWidth="1"/>
    <col min="20" max="20" width="10" style="18" bestFit="1" customWidth="1"/>
    <col min="21" max="21" width="10.1796875" style="1" bestFit="1" customWidth="1"/>
    <col min="22" max="22" width="9.26953125" style="1" customWidth="1"/>
    <col min="23" max="23" width="9.26953125" style="15" bestFit="1" customWidth="1"/>
    <col min="24" max="26" width="9.26953125" style="1" bestFit="1" customWidth="1"/>
    <col min="27" max="27" width="9.26953125" style="18" bestFit="1" customWidth="1"/>
    <col min="28" max="28" width="9.26953125" style="1" bestFit="1" customWidth="1"/>
    <col min="29" max="29" width="9.26953125" style="18" bestFit="1" customWidth="1"/>
    <col min="30" max="30" width="9.26953125" style="1" bestFit="1" customWidth="1"/>
    <col min="31" max="31" width="9.26953125" style="1" customWidth="1"/>
    <col min="32" max="32" width="9.26953125" style="15" bestFit="1" customWidth="1"/>
    <col min="33" max="38" width="9.26953125" style="1" bestFit="1" customWidth="1"/>
    <col min="39" max="39" width="9.26953125" style="1" customWidth="1"/>
    <col min="40" max="40" width="9.26953125" style="15" bestFit="1" customWidth="1"/>
    <col min="41" max="43" width="9.26953125" style="1" bestFit="1" customWidth="1"/>
    <col min="44" max="44" width="9.26953125" style="18" bestFit="1" customWidth="1"/>
    <col min="45" max="45" width="9.26953125" style="20" bestFit="1" customWidth="1"/>
    <col min="46" max="46" width="9.26953125" style="13" bestFit="1" customWidth="1"/>
    <col min="47" max="47" width="9.26953125" style="1" customWidth="1"/>
    <col min="48" max="48" width="9.26953125" style="15" bestFit="1" customWidth="1"/>
    <col min="49" max="49" width="9.26953125" style="1" bestFit="1" customWidth="1"/>
    <col min="50" max="51" width="9.26953125" style="13" bestFit="1" customWidth="1"/>
    <col min="52" max="52" width="9.26953125" style="1" bestFit="1" customWidth="1"/>
    <col min="53" max="53" width="9.26953125" style="18" bestFit="1" customWidth="1"/>
    <col min="54" max="54" width="9.26953125" style="1" bestFit="1" customWidth="1"/>
    <col min="55" max="55" width="9.26953125" style="1" customWidth="1"/>
    <col min="56" max="56" width="9.26953125" style="15" bestFit="1" customWidth="1"/>
    <col min="57" max="58" width="9.26953125" style="1" bestFit="1" customWidth="1"/>
    <col min="59" max="59" width="9.26953125" style="1" customWidth="1"/>
    <col min="60" max="60" width="9.26953125" style="15" bestFit="1" customWidth="1"/>
    <col min="61" max="61" width="9.26953125" style="1" bestFit="1" customWidth="1"/>
    <col min="62" max="16384" width="9.1796875" style="1"/>
  </cols>
  <sheetData>
    <row r="1" spans="1:61" ht="15" customHeight="1" x14ac:dyDescent="0.25">
      <c r="A1" s="82"/>
      <c r="B1" s="82"/>
      <c r="C1" s="82"/>
      <c r="D1" s="82"/>
      <c r="E1" s="82"/>
      <c r="F1" s="82"/>
      <c r="G1" s="83" t="s">
        <v>277</v>
      </c>
      <c r="H1" s="141" t="s">
        <v>164</v>
      </c>
      <c r="I1" s="141"/>
      <c r="J1" s="141"/>
      <c r="K1" s="141"/>
      <c r="L1" s="141"/>
      <c r="M1" s="141"/>
      <c r="N1" s="142"/>
      <c r="O1" s="130" t="s">
        <v>147</v>
      </c>
      <c r="P1" s="131"/>
      <c r="Q1" s="131"/>
      <c r="R1" s="131"/>
      <c r="S1" s="131"/>
      <c r="T1" s="131"/>
      <c r="U1" s="139"/>
      <c r="V1" s="140" t="s">
        <v>148</v>
      </c>
      <c r="W1" s="141"/>
      <c r="X1" s="141"/>
      <c r="Y1" s="141"/>
      <c r="Z1" s="141"/>
      <c r="AA1" s="141"/>
      <c r="AB1" s="141"/>
      <c r="AC1" s="141"/>
      <c r="AD1" s="142"/>
      <c r="AE1" s="133" t="s">
        <v>149</v>
      </c>
      <c r="AF1" s="134"/>
      <c r="AG1" s="134"/>
      <c r="AH1" s="134"/>
      <c r="AI1" s="134"/>
      <c r="AJ1" s="134"/>
      <c r="AK1" s="134"/>
      <c r="AL1" s="135"/>
      <c r="AM1" s="140" t="s">
        <v>186</v>
      </c>
      <c r="AN1" s="141"/>
      <c r="AO1" s="141"/>
      <c r="AP1" s="141"/>
      <c r="AQ1" s="141"/>
      <c r="AR1" s="141"/>
      <c r="AS1" s="141"/>
      <c r="AT1" s="142"/>
      <c r="AU1" s="133" t="s">
        <v>150</v>
      </c>
      <c r="AV1" s="134"/>
      <c r="AW1" s="134"/>
      <c r="AX1" s="134"/>
      <c r="AY1" s="134"/>
      <c r="AZ1" s="134"/>
      <c r="BA1" s="134"/>
      <c r="BB1" s="135"/>
      <c r="BC1" s="140" t="s">
        <v>151</v>
      </c>
      <c r="BD1" s="141"/>
      <c r="BE1" s="141"/>
      <c r="BF1" s="142"/>
      <c r="BG1" s="130" t="s">
        <v>152</v>
      </c>
      <c r="BH1" s="131"/>
      <c r="BI1" s="131"/>
    </row>
    <row r="2" spans="1:61" s="2" customFormat="1" ht="84" x14ac:dyDescent="0.2">
      <c r="A2" s="84"/>
      <c r="B2" s="84"/>
      <c r="C2" s="84"/>
      <c r="D2" s="84"/>
      <c r="E2" s="84"/>
      <c r="F2" s="84"/>
      <c r="G2" s="85" t="s">
        <v>278</v>
      </c>
      <c r="H2" s="50" t="s">
        <v>205</v>
      </c>
      <c r="I2" s="51" t="s">
        <v>165</v>
      </c>
      <c r="J2" s="52" t="s">
        <v>187</v>
      </c>
      <c r="K2" s="53" t="s">
        <v>188</v>
      </c>
      <c r="L2" s="52" t="s">
        <v>191</v>
      </c>
      <c r="M2" s="54" t="s">
        <v>189</v>
      </c>
      <c r="N2" s="52" t="s">
        <v>190</v>
      </c>
      <c r="O2" s="55" t="s">
        <v>206</v>
      </c>
      <c r="P2" s="51" t="s">
        <v>166</v>
      </c>
      <c r="Q2" s="52" t="s">
        <v>192</v>
      </c>
      <c r="R2" s="53" t="s">
        <v>193</v>
      </c>
      <c r="S2" s="52" t="s">
        <v>194</v>
      </c>
      <c r="T2" s="54" t="s">
        <v>173</v>
      </c>
      <c r="U2" s="52" t="s">
        <v>174</v>
      </c>
      <c r="V2" s="55" t="s">
        <v>207</v>
      </c>
      <c r="W2" s="51" t="s">
        <v>167</v>
      </c>
      <c r="X2" s="52" t="s">
        <v>216</v>
      </c>
      <c r="Y2" s="53" t="s">
        <v>195</v>
      </c>
      <c r="Z2" s="52" t="s">
        <v>196</v>
      </c>
      <c r="AA2" s="54" t="s">
        <v>177</v>
      </c>
      <c r="AB2" s="52" t="s">
        <v>178</v>
      </c>
      <c r="AC2" s="54" t="s">
        <v>175</v>
      </c>
      <c r="AD2" s="52" t="s">
        <v>176</v>
      </c>
      <c r="AE2" s="56" t="s">
        <v>208</v>
      </c>
      <c r="AF2" s="57" t="s">
        <v>168</v>
      </c>
      <c r="AG2" s="58" t="s">
        <v>217</v>
      </c>
      <c r="AH2" s="53" t="s">
        <v>218</v>
      </c>
      <c r="AI2" s="58" t="s">
        <v>219</v>
      </c>
      <c r="AJ2" s="53" t="s">
        <v>220</v>
      </c>
      <c r="AK2" s="58" t="s">
        <v>221</v>
      </c>
      <c r="AL2" s="53" t="s">
        <v>222</v>
      </c>
      <c r="AM2" s="56" t="s">
        <v>209</v>
      </c>
      <c r="AN2" s="57" t="s">
        <v>169</v>
      </c>
      <c r="AO2" s="58" t="s">
        <v>197</v>
      </c>
      <c r="AP2" s="53" t="s">
        <v>198</v>
      </c>
      <c r="AQ2" s="58" t="s">
        <v>199</v>
      </c>
      <c r="AR2" s="54" t="s">
        <v>179</v>
      </c>
      <c r="AS2" s="59" t="s">
        <v>180</v>
      </c>
      <c r="AT2" s="53" t="s">
        <v>181</v>
      </c>
      <c r="AU2" s="56" t="s">
        <v>210</v>
      </c>
      <c r="AV2" s="57" t="s">
        <v>170</v>
      </c>
      <c r="AW2" s="58" t="s">
        <v>200</v>
      </c>
      <c r="AX2" s="53" t="s">
        <v>182</v>
      </c>
      <c r="AY2" s="58" t="s">
        <v>183</v>
      </c>
      <c r="AZ2" s="53" t="s">
        <v>201</v>
      </c>
      <c r="BA2" s="60" t="s">
        <v>184</v>
      </c>
      <c r="BB2" s="53" t="s">
        <v>185</v>
      </c>
      <c r="BC2" s="56" t="s">
        <v>211</v>
      </c>
      <c r="BD2" s="57" t="s">
        <v>171</v>
      </c>
      <c r="BE2" s="61" t="s">
        <v>202</v>
      </c>
      <c r="BF2" s="53" t="s">
        <v>203</v>
      </c>
      <c r="BG2" s="56" t="s">
        <v>212</v>
      </c>
      <c r="BH2" s="57" t="s">
        <v>172</v>
      </c>
      <c r="BI2" s="61" t="s">
        <v>204</v>
      </c>
    </row>
    <row r="3" spans="1:61" s="70" customFormat="1" ht="17.5" x14ac:dyDescent="0.35">
      <c r="A3" s="86"/>
      <c r="B3" s="86"/>
      <c r="C3" s="86"/>
      <c r="D3" s="86"/>
      <c r="E3" s="86"/>
      <c r="F3" s="86"/>
      <c r="G3" s="87" t="s">
        <v>223</v>
      </c>
      <c r="H3" s="65"/>
      <c r="I3" s="66"/>
      <c r="J3" s="65"/>
      <c r="K3" s="65"/>
      <c r="L3" s="65"/>
      <c r="M3" s="67"/>
      <c r="N3" s="65"/>
      <c r="O3" s="65"/>
      <c r="P3" s="66"/>
      <c r="Q3" s="65"/>
      <c r="R3" s="65"/>
      <c r="S3" s="65"/>
      <c r="T3" s="67"/>
      <c r="U3" s="65"/>
      <c r="V3" s="65"/>
      <c r="W3" s="66"/>
      <c r="X3" s="65"/>
      <c r="Y3" s="65"/>
      <c r="Z3" s="65"/>
      <c r="AA3" s="67"/>
      <c r="AB3" s="65"/>
      <c r="AC3" s="67"/>
      <c r="AD3" s="65"/>
      <c r="AE3" s="65"/>
      <c r="AF3" s="66"/>
      <c r="AG3" s="65"/>
      <c r="AH3" s="65"/>
      <c r="AI3" s="65"/>
      <c r="AJ3" s="65"/>
      <c r="AK3" s="65"/>
      <c r="AL3" s="65"/>
      <c r="AM3" s="65"/>
      <c r="AN3" s="66"/>
      <c r="AO3" s="65"/>
      <c r="AP3" s="65"/>
      <c r="AQ3" s="65"/>
      <c r="AR3" s="67"/>
      <c r="AS3" s="68"/>
      <c r="AT3" s="69"/>
      <c r="AU3" s="65"/>
      <c r="AV3" s="66"/>
      <c r="AW3" s="65"/>
      <c r="AX3" s="69"/>
      <c r="AY3" s="69"/>
      <c r="AZ3" s="65"/>
      <c r="BA3" s="67"/>
      <c r="BB3" s="65"/>
      <c r="BC3" s="65"/>
      <c r="BD3" s="66"/>
      <c r="BE3" s="65"/>
      <c r="BF3" s="65"/>
      <c r="BG3" s="65"/>
      <c r="BH3" s="66"/>
      <c r="BI3" s="65"/>
    </row>
    <row r="4" spans="1:61" s="70" customFormat="1" ht="17.5" x14ac:dyDescent="0.35">
      <c r="A4" s="86"/>
      <c r="B4" s="86"/>
      <c r="C4" s="86"/>
      <c r="D4" s="86"/>
      <c r="E4" s="86"/>
      <c r="F4" s="86"/>
      <c r="G4" s="87" t="s">
        <v>224</v>
      </c>
      <c r="H4" s="71"/>
      <c r="I4" s="72"/>
      <c r="J4" s="71"/>
      <c r="K4" s="71"/>
      <c r="L4" s="71"/>
      <c r="M4" s="73"/>
      <c r="N4" s="71"/>
      <c r="O4" s="71"/>
      <c r="P4" s="72"/>
      <c r="Q4" s="71"/>
      <c r="R4" s="71"/>
      <c r="S4" s="71"/>
      <c r="T4" s="73"/>
      <c r="U4" s="71"/>
      <c r="V4" s="71"/>
      <c r="W4" s="72"/>
      <c r="X4" s="71"/>
      <c r="Y4" s="71"/>
      <c r="Z4" s="71"/>
      <c r="AA4" s="73"/>
      <c r="AB4" s="71"/>
      <c r="AC4" s="73"/>
      <c r="AD4" s="71"/>
      <c r="AE4" s="71"/>
      <c r="AF4" s="72"/>
      <c r="AG4" s="71"/>
      <c r="AH4" s="71"/>
      <c r="AI4" s="71"/>
      <c r="AJ4" s="71"/>
      <c r="AK4" s="71"/>
      <c r="AL4" s="71"/>
      <c r="AM4" s="71"/>
      <c r="AN4" s="74"/>
      <c r="AO4" s="71">
        <v>1</v>
      </c>
      <c r="AP4" s="71">
        <v>2</v>
      </c>
      <c r="AQ4" s="71" t="s">
        <v>233</v>
      </c>
      <c r="AR4" s="73"/>
      <c r="AS4" s="73"/>
      <c r="AT4" s="71"/>
      <c r="AU4" s="71"/>
      <c r="AV4" s="72"/>
      <c r="AW4" s="71"/>
      <c r="AX4" s="71"/>
      <c r="AY4" s="71"/>
      <c r="AZ4" s="71"/>
      <c r="BA4" s="73"/>
      <c r="BB4" s="71"/>
      <c r="BC4" s="71"/>
      <c r="BD4" s="72"/>
      <c r="BE4" s="71"/>
      <c r="BF4" s="71"/>
      <c r="BG4" s="71"/>
      <c r="BH4" s="72"/>
      <c r="BI4" s="71"/>
    </row>
    <row r="5" spans="1:61" s="70" customFormat="1" ht="17.5" x14ac:dyDescent="0.35">
      <c r="A5" s="86"/>
      <c r="B5" s="86"/>
      <c r="C5" s="86"/>
      <c r="D5" s="86"/>
      <c r="E5" s="86"/>
      <c r="F5" s="86"/>
      <c r="G5" s="87" t="s">
        <v>276</v>
      </c>
      <c r="H5" s="75"/>
      <c r="I5" s="76"/>
      <c r="J5" s="75"/>
      <c r="K5" s="75"/>
      <c r="L5" s="75"/>
      <c r="M5" s="77"/>
      <c r="N5" s="75"/>
      <c r="O5" s="75"/>
      <c r="P5" s="76"/>
      <c r="Q5" s="75"/>
      <c r="R5" s="75"/>
      <c r="S5" s="75"/>
      <c r="T5" s="77"/>
      <c r="U5" s="75"/>
      <c r="V5" s="75"/>
      <c r="W5" s="76"/>
      <c r="X5" s="75"/>
      <c r="Y5" s="75"/>
      <c r="Z5" s="75"/>
      <c r="AA5" s="77"/>
      <c r="AB5" s="75"/>
      <c r="AC5" s="77"/>
      <c r="AD5" s="75"/>
      <c r="AE5" s="75"/>
      <c r="AF5" s="76"/>
      <c r="AG5" s="75"/>
      <c r="AH5" s="75"/>
      <c r="AI5" s="75"/>
      <c r="AJ5" s="75"/>
      <c r="AK5" s="75"/>
      <c r="AL5" s="75"/>
      <c r="AM5" s="75"/>
      <c r="AN5" s="76"/>
      <c r="AO5" s="75"/>
      <c r="AP5" s="75"/>
      <c r="AQ5" s="75"/>
      <c r="AR5" s="77"/>
      <c r="AS5" s="77"/>
      <c r="AT5" s="75"/>
      <c r="AU5" s="75"/>
      <c r="AV5" s="76"/>
      <c r="AW5" s="75"/>
      <c r="AX5" s="75"/>
      <c r="AY5" s="75"/>
      <c r="AZ5" s="75"/>
      <c r="BA5" s="77"/>
      <c r="BB5" s="75"/>
      <c r="BC5" s="75"/>
      <c r="BD5" s="76"/>
      <c r="BE5" s="75"/>
      <c r="BF5" s="75"/>
      <c r="BG5" s="75"/>
      <c r="BH5" s="76"/>
      <c r="BI5" s="75"/>
    </row>
    <row r="6" spans="1:61" x14ac:dyDescent="0.2">
      <c r="A6" s="88"/>
      <c r="B6" s="88"/>
      <c r="C6" s="88"/>
      <c r="D6" s="88"/>
      <c r="E6" s="88"/>
      <c r="F6" s="88"/>
      <c r="G6" s="89"/>
      <c r="H6" s="47"/>
      <c r="I6" s="48"/>
      <c r="J6" s="47">
        <v>10</v>
      </c>
      <c r="K6" s="47">
        <v>8</v>
      </c>
      <c r="L6" s="47">
        <v>12</v>
      </c>
      <c r="M6" s="49"/>
      <c r="N6" s="47"/>
      <c r="O6" s="47"/>
      <c r="P6" s="48"/>
      <c r="Q6" s="47">
        <v>7</v>
      </c>
      <c r="R6" s="47">
        <v>7</v>
      </c>
      <c r="S6" s="47">
        <v>7</v>
      </c>
      <c r="T6" s="49"/>
      <c r="U6" s="47"/>
      <c r="V6" s="47"/>
      <c r="W6" s="48"/>
      <c r="X6" s="47">
        <v>5</v>
      </c>
      <c r="Y6" s="47">
        <v>8</v>
      </c>
      <c r="Z6" s="47">
        <v>5</v>
      </c>
      <c r="AA6" s="49"/>
      <c r="AB6" s="47"/>
      <c r="AC6" s="49"/>
      <c r="AD6" s="47"/>
      <c r="AE6" s="47"/>
      <c r="AF6" s="48"/>
      <c r="AG6" s="47">
        <v>5</v>
      </c>
      <c r="AH6" s="47">
        <v>4</v>
      </c>
      <c r="AI6" s="47">
        <v>5</v>
      </c>
      <c r="AJ6" s="47">
        <v>8</v>
      </c>
      <c r="AK6" s="47">
        <v>7</v>
      </c>
      <c r="AL6" s="47">
        <v>7</v>
      </c>
      <c r="AM6" s="47"/>
      <c r="AN6" s="48"/>
      <c r="AO6" s="47">
        <v>13</v>
      </c>
      <c r="AP6" s="47">
        <v>8</v>
      </c>
      <c r="AQ6" s="47">
        <v>9</v>
      </c>
      <c r="AR6" s="49"/>
      <c r="AS6" s="49"/>
      <c r="AT6" s="47"/>
      <c r="AU6" s="47"/>
      <c r="AV6" s="48"/>
      <c r="AW6" s="47">
        <v>11</v>
      </c>
      <c r="AX6" s="47"/>
      <c r="AY6" s="47"/>
      <c r="AZ6" s="47">
        <v>9</v>
      </c>
      <c r="BA6" s="49"/>
      <c r="BB6" s="47"/>
      <c r="BC6" s="47"/>
      <c r="BD6" s="48"/>
      <c r="BE6" s="47">
        <v>29</v>
      </c>
      <c r="BF6" s="47">
        <v>20</v>
      </c>
      <c r="BG6" s="47"/>
      <c r="BH6" s="48"/>
      <c r="BI6" s="47">
        <v>9</v>
      </c>
    </row>
    <row r="7" spans="1:61" ht="15" customHeight="1" x14ac:dyDescent="0.25">
      <c r="A7" s="143" t="s">
        <v>275</v>
      </c>
      <c r="B7" s="144"/>
      <c r="C7" s="144"/>
      <c r="D7" s="144"/>
      <c r="E7" s="144"/>
      <c r="F7" s="144"/>
      <c r="G7" s="145"/>
      <c r="H7" s="140" t="s">
        <v>164</v>
      </c>
      <c r="I7" s="141"/>
      <c r="J7" s="141"/>
      <c r="K7" s="141"/>
      <c r="L7" s="141"/>
      <c r="M7" s="141"/>
      <c r="N7" s="142"/>
      <c r="O7" s="130" t="s">
        <v>147</v>
      </c>
      <c r="P7" s="131"/>
      <c r="Q7" s="131"/>
      <c r="R7" s="131"/>
      <c r="S7" s="131"/>
      <c r="T7" s="131"/>
      <c r="U7" s="139"/>
      <c r="V7" s="140" t="s">
        <v>148</v>
      </c>
      <c r="W7" s="141"/>
      <c r="X7" s="141"/>
      <c r="Y7" s="141"/>
      <c r="Z7" s="141"/>
      <c r="AA7" s="141"/>
      <c r="AB7" s="141"/>
      <c r="AC7" s="141"/>
      <c r="AD7" s="142"/>
      <c r="AE7" s="133" t="s">
        <v>149</v>
      </c>
      <c r="AF7" s="134"/>
      <c r="AG7" s="134"/>
      <c r="AH7" s="134"/>
      <c r="AI7" s="134"/>
      <c r="AJ7" s="134"/>
      <c r="AK7" s="134"/>
      <c r="AL7" s="135"/>
      <c r="AM7" s="140" t="s">
        <v>186</v>
      </c>
      <c r="AN7" s="141"/>
      <c r="AO7" s="141"/>
      <c r="AP7" s="141"/>
      <c r="AQ7" s="141"/>
      <c r="AR7" s="141"/>
      <c r="AS7" s="141"/>
      <c r="AT7" s="142"/>
      <c r="AU7" s="133" t="s">
        <v>150</v>
      </c>
      <c r="AV7" s="134"/>
      <c r="AW7" s="134"/>
      <c r="AX7" s="134"/>
      <c r="AY7" s="134"/>
      <c r="AZ7" s="134"/>
      <c r="BA7" s="134"/>
      <c r="BB7" s="135"/>
      <c r="BC7" s="140" t="s">
        <v>151</v>
      </c>
      <c r="BD7" s="141"/>
      <c r="BE7" s="141"/>
      <c r="BF7" s="142"/>
      <c r="BG7" s="130" t="s">
        <v>152</v>
      </c>
      <c r="BH7" s="131"/>
      <c r="BI7" s="131"/>
    </row>
    <row r="8" spans="1:61" s="2" customFormat="1" ht="84" x14ac:dyDescent="0.2">
      <c r="A8" s="5" t="s">
        <v>0</v>
      </c>
      <c r="B8" s="5" t="s">
        <v>1</v>
      </c>
      <c r="C8" s="5" t="s">
        <v>2</v>
      </c>
      <c r="D8" s="5" t="s">
        <v>3</v>
      </c>
      <c r="E8" s="5" t="s">
        <v>4</v>
      </c>
      <c r="F8" s="5" t="s">
        <v>156</v>
      </c>
      <c r="G8" s="5" t="s">
        <v>157</v>
      </c>
      <c r="H8" s="8" t="s">
        <v>205</v>
      </c>
      <c r="I8" s="14" t="s">
        <v>165</v>
      </c>
      <c r="J8" s="6" t="s">
        <v>187</v>
      </c>
      <c r="K8" s="7" t="s">
        <v>188</v>
      </c>
      <c r="L8" s="6" t="s">
        <v>191</v>
      </c>
      <c r="M8" s="17" t="s">
        <v>189</v>
      </c>
      <c r="N8" s="6" t="s">
        <v>190</v>
      </c>
      <c r="O8" s="8" t="s">
        <v>206</v>
      </c>
      <c r="P8" s="14" t="s">
        <v>166</v>
      </c>
      <c r="Q8" s="6" t="s">
        <v>192</v>
      </c>
      <c r="R8" s="7" t="s">
        <v>193</v>
      </c>
      <c r="S8" s="6" t="s">
        <v>194</v>
      </c>
      <c r="T8" s="17" t="s">
        <v>173</v>
      </c>
      <c r="U8" s="6" t="s">
        <v>174</v>
      </c>
      <c r="V8" s="8" t="s">
        <v>207</v>
      </c>
      <c r="W8" s="14" t="s">
        <v>167</v>
      </c>
      <c r="X8" s="6" t="s">
        <v>216</v>
      </c>
      <c r="Y8" s="7" t="s">
        <v>195</v>
      </c>
      <c r="Z8" s="6" t="s">
        <v>196</v>
      </c>
      <c r="AA8" s="17" t="s">
        <v>177</v>
      </c>
      <c r="AB8" s="6" t="s">
        <v>178</v>
      </c>
      <c r="AC8" s="17" t="s">
        <v>175</v>
      </c>
      <c r="AD8" s="6" t="s">
        <v>176</v>
      </c>
      <c r="AE8" s="10" t="s">
        <v>208</v>
      </c>
      <c r="AF8" s="16" t="s">
        <v>168</v>
      </c>
      <c r="AG8" s="9" t="s">
        <v>217</v>
      </c>
      <c r="AH8" s="7" t="s">
        <v>218</v>
      </c>
      <c r="AI8" s="9" t="s">
        <v>219</v>
      </c>
      <c r="AJ8" s="7" t="s">
        <v>220</v>
      </c>
      <c r="AK8" s="9" t="s">
        <v>221</v>
      </c>
      <c r="AL8" s="7" t="s">
        <v>222</v>
      </c>
      <c r="AM8" s="10" t="s">
        <v>209</v>
      </c>
      <c r="AN8" s="16" t="s">
        <v>169</v>
      </c>
      <c r="AO8" s="9" t="s">
        <v>197</v>
      </c>
      <c r="AP8" s="7" t="s">
        <v>198</v>
      </c>
      <c r="AQ8" s="9" t="s">
        <v>199</v>
      </c>
      <c r="AR8" s="17" t="s">
        <v>179</v>
      </c>
      <c r="AS8" s="19" t="s">
        <v>180</v>
      </c>
      <c r="AT8" s="7" t="s">
        <v>181</v>
      </c>
      <c r="AU8" s="10" t="s">
        <v>210</v>
      </c>
      <c r="AV8" s="16" t="s">
        <v>170</v>
      </c>
      <c r="AW8" s="9" t="s">
        <v>200</v>
      </c>
      <c r="AX8" s="7" t="s">
        <v>182</v>
      </c>
      <c r="AY8" s="9" t="s">
        <v>183</v>
      </c>
      <c r="AZ8" s="7" t="s">
        <v>201</v>
      </c>
      <c r="BA8" s="21" t="s">
        <v>184</v>
      </c>
      <c r="BB8" s="7" t="s">
        <v>185</v>
      </c>
      <c r="BC8" s="10" t="s">
        <v>211</v>
      </c>
      <c r="BD8" s="16" t="s">
        <v>171</v>
      </c>
      <c r="BE8" s="11" t="s">
        <v>202</v>
      </c>
      <c r="BF8" s="7" t="s">
        <v>203</v>
      </c>
      <c r="BG8" s="10" t="s">
        <v>212</v>
      </c>
      <c r="BH8" s="16" t="s">
        <v>172</v>
      </c>
      <c r="BI8" s="11" t="s">
        <v>204</v>
      </c>
    </row>
    <row r="9" spans="1:61" x14ac:dyDescent="0.2">
      <c r="A9" s="2" t="s">
        <v>5</v>
      </c>
      <c r="B9" s="3" t="s">
        <v>6</v>
      </c>
      <c r="C9" s="3" t="s">
        <v>7</v>
      </c>
      <c r="D9" s="3" t="s">
        <v>8</v>
      </c>
      <c r="E9" s="3" t="s">
        <v>9</v>
      </c>
      <c r="F9" s="3" t="s">
        <v>159</v>
      </c>
      <c r="G9" s="3" t="s">
        <v>163</v>
      </c>
      <c r="H9" s="30">
        <f>RANK(I9,I$9:I$70)</f>
        <v>28</v>
      </c>
      <c r="I9" s="31">
        <f>VLOOKUP($A9,'Seed Base'!$A:$S,19,FALSE)</f>
        <v>62.192446401922609</v>
      </c>
      <c r="J9" s="4">
        <v>8</v>
      </c>
      <c r="K9" s="4">
        <v>6.5</v>
      </c>
      <c r="L9" s="4">
        <v>2</v>
      </c>
      <c r="M9" s="12">
        <v>587</v>
      </c>
      <c r="N9" s="4">
        <v>18.483757633238948</v>
      </c>
      <c r="O9" s="30">
        <f>RANK(P9,P$9:P$70)</f>
        <v>53</v>
      </c>
      <c r="P9" s="31">
        <f>VLOOKUP($A9,'Fert Base'!$A:$S,19,FALSE)</f>
        <v>28.571428571428569</v>
      </c>
      <c r="Q9" s="4">
        <v>0</v>
      </c>
      <c r="R9" s="4">
        <v>2</v>
      </c>
      <c r="S9" s="4">
        <v>6</v>
      </c>
      <c r="T9" s="12" t="s">
        <v>155</v>
      </c>
      <c r="U9" s="4" t="s">
        <v>155</v>
      </c>
      <c r="V9" s="30">
        <f>RANK(W9,W$9:W$70)</f>
        <v>30</v>
      </c>
      <c r="W9" s="31">
        <f>VLOOKUP($A9,'Mech Base'!$A:$Z,24,FALSE)</f>
        <v>53.659444586139351</v>
      </c>
      <c r="X9" s="4">
        <v>0.5</v>
      </c>
      <c r="Y9" s="4">
        <v>5</v>
      </c>
      <c r="Z9" s="4">
        <v>5</v>
      </c>
      <c r="AA9" s="12" t="s">
        <v>154</v>
      </c>
      <c r="AB9" s="4" t="s">
        <v>154</v>
      </c>
      <c r="AC9" s="12">
        <v>3</v>
      </c>
      <c r="AD9" s="4">
        <v>0.28790899740247583</v>
      </c>
      <c r="AE9" s="30">
        <f>RANK(AF9,AF$9:AF$70)</f>
        <v>52</v>
      </c>
      <c r="AF9" s="31">
        <f>100*AVERAGE(IF(VLOOKUP(A9,'Data Gaps'!A:O,15,FALSE)="X",'EBA2017'!AH9/4,AVERAGE(AG9/5,AH9/4)),AVERAGE(AI9/5,AJ9/8),IF(VLOOKUP(A9,'Data Gaps'!A:O,15,FALSE)="X",'EBA2017'!AL9/7,AVERAGE(AK9/7,AL9/7)))</f>
        <v>35.863095238095241</v>
      </c>
      <c r="AG9" s="4">
        <v>0</v>
      </c>
      <c r="AH9" s="4">
        <v>3.75</v>
      </c>
      <c r="AI9" s="4">
        <v>0</v>
      </c>
      <c r="AJ9" s="4">
        <v>4</v>
      </c>
      <c r="AK9" s="4">
        <v>0</v>
      </c>
      <c r="AL9" s="4">
        <v>5</v>
      </c>
      <c r="AM9" s="30">
        <f>RANK(AN9,AN$9:AN$70)</f>
        <v>23</v>
      </c>
      <c r="AN9" s="31">
        <f>VLOOKUP($A9,'Mark Base'!$A:$Z,21,FALSE)</f>
        <v>64.870095182595193</v>
      </c>
      <c r="AO9" s="4">
        <v>9.3000000000000007</v>
      </c>
      <c r="AP9" s="4">
        <v>3.5</v>
      </c>
      <c r="AQ9" s="4">
        <v>5</v>
      </c>
      <c r="AR9" s="12">
        <v>1</v>
      </c>
      <c r="AS9" s="12">
        <v>1</v>
      </c>
      <c r="AT9" s="4">
        <v>0</v>
      </c>
      <c r="AU9" s="30">
        <f>RANK(AV9,AV$9:AV$70)</f>
        <v>56</v>
      </c>
      <c r="AV9" s="31">
        <f>100*AVERAGE((AW9/11),AVERAGE(IF(AX9="No data","No data",IF(OR(AX9="No practice",AX9="N/A",AX9&gt;PERCENTILE($AX$9:$AX$70,0.95)),0,(PERCENTILE($AX$9:$AX$70,0.95)-AX9)/(PERCENTILE($AX$9:$AX$70,0.95)-MIN($AX$9:$AX$70)))),IF(AY9="No data","No data",IF(OR(AY9="No practice",AY9="N/A",AY9&gt;PERCENTILE($AY$9:$AY$70,0.95)),0,(PERCENTILE($AY$9:$AY$70,0.95)-AY9)/(PERCENTILE($AY$9:$AY$70,0.95)-MIN($AY$9:$AY$70))))),(AZ9/9),AVERAGE(IF(BA9="No data","No data",IF(OR(BA9="No practice",BA9="N/A",BA9&gt;PERCENTILE($BA$9:$BA$70,0.95)),0,(PERCENTILE($BA$9:$BA$70,0.95)-BA9)/(PERCENTILE($BA$9:$BA$70,0.95)-MIN($BA$9:$BA$70)))),IF(BB9="No data","No data",IF(OR(BB9="No practice",BB9="N/A",BB9&gt;PERCENTILE($BB$9:$BB$70,0.95)),0,(PERCENTILE($BB$9:$BB$70,0.95)-BB9)/(PERCENTILE($BB$9:$BB$70,0.95)-MIN($BB$9:$BB$70))))))</f>
        <v>18.434343434343436</v>
      </c>
      <c r="AW9" s="4">
        <v>2.0000000000000004</v>
      </c>
      <c r="AX9" s="4" t="s">
        <v>155</v>
      </c>
      <c r="AY9" s="4" t="s">
        <v>155</v>
      </c>
      <c r="AZ9" s="4">
        <v>5</v>
      </c>
      <c r="BA9" s="12" t="s">
        <v>155</v>
      </c>
      <c r="BB9" s="4" t="s">
        <v>155</v>
      </c>
      <c r="BC9" s="30">
        <f>RANK(BD9,BD$9:BD$70)</f>
        <v>5</v>
      </c>
      <c r="BD9" s="31">
        <f>100*AVERAGE(BE9/29,BF9/20)</f>
        <v>82.543103448275872</v>
      </c>
      <c r="BE9" s="4">
        <v>22.500000000000004</v>
      </c>
      <c r="BF9" s="4">
        <v>17.5</v>
      </c>
      <c r="BG9" s="30">
        <f>RANK(BH9,BH$9:BH$70)</f>
        <v>31</v>
      </c>
      <c r="BH9" s="31">
        <f>100*BI9/9</f>
        <v>55.555555555555557</v>
      </c>
      <c r="BI9" s="4">
        <v>5</v>
      </c>
    </row>
    <row r="10" spans="1:61" x14ac:dyDescent="0.2">
      <c r="A10" s="2" t="s">
        <v>10</v>
      </c>
      <c r="B10" s="3" t="s">
        <v>11</v>
      </c>
      <c r="C10" s="3" t="s">
        <v>12</v>
      </c>
      <c r="D10" s="3" t="s">
        <v>13</v>
      </c>
      <c r="E10" s="3" t="s">
        <v>9</v>
      </c>
      <c r="F10" s="3" t="s">
        <v>159</v>
      </c>
      <c r="G10" s="3" t="s">
        <v>158</v>
      </c>
      <c r="H10" s="30">
        <f t="shared" ref="H10:H70" si="0">RANK(I10,I$9:I$70)</f>
        <v>54</v>
      </c>
      <c r="I10" s="31">
        <f>VLOOKUP($A10,'Seed Base'!$A:$S,19,FALSE)</f>
        <v>34.270833333333336</v>
      </c>
      <c r="J10" s="4">
        <v>6</v>
      </c>
      <c r="K10" s="4">
        <v>5.5</v>
      </c>
      <c r="L10" s="4">
        <v>1</v>
      </c>
      <c r="M10" s="12" t="s">
        <v>154</v>
      </c>
      <c r="N10" s="4" t="s">
        <v>154</v>
      </c>
      <c r="O10" s="30">
        <f t="shared" ref="O10:O70" si="1">RANK(P10,P$9:P$70)</f>
        <v>35</v>
      </c>
      <c r="P10" s="31">
        <f>VLOOKUP($A10,'Fert Base'!$A:$S,19,FALSE)</f>
        <v>54.250841660341031</v>
      </c>
      <c r="Q10" s="4">
        <v>4.4000000000000004</v>
      </c>
      <c r="R10" s="4">
        <v>4.5000000000000009</v>
      </c>
      <c r="S10" s="4">
        <v>3</v>
      </c>
      <c r="T10" s="12">
        <v>945</v>
      </c>
      <c r="U10" s="4">
        <v>58.761479511133373</v>
      </c>
      <c r="V10" s="30">
        <f t="shared" ref="V10:V70" si="2">RANK(W10,W$9:W$70)</f>
        <v>49</v>
      </c>
      <c r="W10" s="31">
        <f>VLOOKUP($A10,'Mech Base'!$A:$Z,24,FALSE)</f>
        <v>30.441487867214477</v>
      </c>
      <c r="X10" s="4">
        <v>3</v>
      </c>
      <c r="Y10" s="4">
        <v>0.33333333333333326</v>
      </c>
      <c r="Z10" s="4">
        <v>1.5</v>
      </c>
      <c r="AA10" s="12" t="s">
        <v>155</v>
      </c>
      <c r="AB10" s="4" t="s">
        <v>155</v>
      </c>
      <c r="AC10" s="12">
        <v>17</v>
      </c>
      <c r="AD10" s="4">
        <v>8.2963241411481583</v>
      </c>
      <c r="AE10" s="30">
        <f t="shared" ref="AE10:AE70" si="3">RANK(AF10,AF$9:AF$70)</f>
        <v>23</v>
      </c>
      <c r="AF10" s="31">
        <f>100*AVERAGE(IF(VLOOKUP(A10,'Data Gaps'!A:O,15,FALSE)="X",'EBA2017'!AH10/4,AVERAGE(AG10/5,AH10/4)),AVERAGE(AI10/5,AJ10/8),IF(VLOOKUP(A10,'Data Gaps'!A:O,15,FALSE)="X",'EBA2017'!AL10/7,AVERAGE(AK10/7,AL10/7)))</f>
        <v>56.714285714285708</v>
      </c>
      <c r="AG10" s="4">
        <v>4.6749999999999998</v>
      </c>
      <c r="AH10" s="4">
        <v>1</v>
      </c>
      <c r="AI10" s="4">
        <v>3.5</v>
      </c>
      <c r="AJ10" s="4">
        <v>3</v>
      </c>
      <c r="AK10" s="4">
        <v>4</v>
      </c>
      <c r="AL10" s="4">
        <v>4</v>
      </c>
      <c r="AM10" s="30">
        <f t="shared" ref="AM10:AM70" si="4">RANK(AN10,AN$9:AN$70)</f>
        <v>21</v>
      </c>
      <c r="AN10" s="31">
        <f>VLOOKUP($A10,'Mark Base'!$A:$Z,21,FALSE)</f>
        <v>66.098693371304407</v>
      </c>
      <c r="AO10" s="4">
        <v>6</v>
      </c>
      <c r="AP10" s="4">
        <v>6</v>
      </c>
      <c r="AQ10" s="4">
        <v>5</v>
      </c>
      <c r="AR10" s="12">
        <v>1</v>
      </c>
      <c r="AS10" s="12">
        <v>1</v>
      </c>
      <c r="AT10" s="4">
        <v>0.14939359197745775</v>
      </c>
      <c r="AU10" s="30">
        <f t="shared" ref="AU10:AU70" si="5">RANK(AV10,AV$9:AV$70)</f>
        <v>43</v>
      </c>
      <c r="AV10" s="31">
        <f t="shared" ref="AV10:AV70" si="6">100*AVERAGE((AW10/11),AVERAGE(IF(AX10="No data","No data",IF(OR(AX10="No practice",AX10="N/A",AX10&gt;PERCENTILE($AX$9:$AX$70,0.95)),0,(PERCENTILE($AX$9:$AX$70,0.95)-AX10)/(PERCENTILE($AX$9:$AX$70,0.95)-MIN($AX$9:$AX$70)))),IF(AY10="No data","No data",IF(OR(AY10="No practice",AY10="N/A",AY10&gt;PERCENTILE($AY$9:$AY$70,0.95)),0,(PERCENTILE($AY$9:$AY$70,0.95)-AY10)/(PERCENTILE($AY$9:$AY$70,0.95)-MIN($AY$9:$AY$70))))),(AZ10/9),AVERAGE(IF(BA10="No data","No data",IF(OR(BA10="No practice",BA10="N/A",BA10&gt;PERCENTILE($BA$9:$BA$70,0.95)),0,(PERCENTILE($BA$9:$BA$70,0.95)-BA10)/(PERCENTILE($BA$9:$BA$70,0.95)-MIN($BA$9:$BA$70)))),IF(BB10="No data","No data",IF(OR(BB10="No practice",BB10="N/A",BB10&gt;PERCENTILE($BB$9:$BB$70,0.95)),0,(PERCENTILE($BB$9:$BB$70,0.95)-BB10)/(PERCENTILE($BB$9:$BB$70,0.95)-MIN($BB$9:$BB$70))))))</f>
        <v>45.034509571327852</v>
      </c>
      <c r="AW10" s="4">
        <v>4.5000000000000009</v>
      </c>
      <c r="AX10" s="4">
        <v>3</v>
      </c>
      <c r="AY10" s="4">
        <v>2.5098123452212904</v>
      </c>
      <c r="AZ10" s="4">
        <v>4</v>
      </c>
      <c r="BA10" s="12" t="s">
        <v>155</v>
      </c>
      <c r="BB10" s="4" t="s">
        <v>155</v>
      </c>
      <c r="BC10" s="30">
        <f t="shared" ref="BC10:BC70" si="7">RANK(BD10,BD$9:BD$70)</f>
        <v>56</v>
      </c>
      <c r="BD10" s="31">
        <f t="shared" ref="BD10:BD70" si="8">100*AVERAGE(BE10/29,BF10/20)</f>
        <v>14.655172413793101</v>
      </c>
      <c r="BE10" s="4">
        <v>8.5</v>
      </c>
      <c r="BF10" s="4">
        <v>0</v>
      </c>
      <c r="BG10" s="30">
        <f t="shared" ref="BG10:BG70" si="9">RANK(BH10,BH$9:BH$70)</f>
        <v>37</v>
      </c>
      <c r="BH10" s="31">
        <f t="shared" ref="BH10:BH70" si="10">100*BI10/9</f>
        <v>50</v>
      </c>
      <c r="BI10" s="4">
        <v>4.5</v>
      </c>
    </row>
    <row r="11" spans="1:61" x14ac:dyDescent="0.2">
      <c r="A11" s="2" t="s">
        <v>14</v>
      </c>
      <c r="B11" s="3" t="s">
        <v>15</v>
      </c>
      <c r="C11" s="3" t="s">
        <v>16</v>
      </c>
      <c r="D11" s="3" t="s">
        <v>17</v>
      </c>
      <c r="E11" s="3" t="s">
        <v>18</v>
      </c>
      <c r="F11" s="3" t="s">
        <v>159</v>
      </c>
      <c r="G11" s="3" t="s">
        <v>158</v>
      </c>
      <c r="H11" s="30">
        <f t="shared" si="0"/>
        <v>55</v>
      </c>
      <c r="I11" s="31">
        <f>VLOOKUP($A11,'Seed Base'!$A:$S,19,FALSE)</f>
        <v>32.8125</v>
      </c>
      <c r="J11" s="4">
        <v>5</v>
      </c>
      <c r="K11" s="4">
        <v>4.5</v>
      </c>
      <c r="L11" s="4">
        <v>3</v>
      </c>
      <c r="M11" s="12" t="s">
        <v>154</v>
      </c>
      <c r="N11" s="4" t="s">
        <v>154</v>
      </c>
      <c r="O11" s="30">
        <f t="shared" si="1"/>
        <v>61</v>
      </c>
      <c r="P11" s="31">
        <f>VLOOKUP($A11,'Fert Base'!$A:$S,19,FALSE)</f>
        <v>14.583333333333334</v>
      </c>
      <c r="Q11" s="4">
        <v>0</v>
      </c>
      <c r="R11" s="4">
        <v>0</v>
      </c>
      <c r="S11" s="4">
        <v>3.5</v>
      </c>
      <c r="T11" s="12" t="s">
        <v>155</v>
      </c>
      <c r="U11" s="4" t="s">
        <v>155</v>
      </c>
      <c r="V11" s="30">
        <f t="shared" si="2"/>
        <v>52</v>
      </c>
      <c r="W11" s="31">
        <f>VLOOKUP($A11,'Mech Base'!$A:$Z,24,FALSE)</f>
        <v>25.833333333333336</v>
      </c>
      <c r="X11" s="4">
        <v>0</v>
      </c>
      <c r="Y11" s="4">
        <v>2.3333333333333335</v>
      </c>
      <c r="Z11" s="4">
        <v>5</v>
      </c>
      <c r="AA11" s="12" t="s">
        <v>155</v>
      </c>
      <c r="AB11" s="4" t="s">
        <v>155</v>
      </c>
      <c r="AC11" s="12" t="s">
        <v>155</v>
      </c>
      <c r="AD11" s="4" t="s">
        <v>155</v>
      </c>
      <c r="AE11" s="30">
        <f t="shared" si="3"/>
        <v>41</v>
      </c>
      <c r="AF11" s="31">
        <f>100*AVERAGE(IF(VLOOKUP(A11,'Data Gaps'!A:O,15,FALSE)="X",'EBA2017'!AH11/4,AVERAGE(AG11/5,AH11/4)),AVERAGE(AI11/5,AJ11/8),IF(VLOOKUP(A11,'Data Gaps'!A:O,15,FALSE)="X",'EBA2017'!AL11/7,AVERAGE(AK11/7,AL11/7)))</f>
        <v>43.353174603174608</v>
      </c>
      <c r="AG11" s="4">
        <v>0</v>
      </c>
      <c r="AH11" s="4">
        <v>3.8333333333333339</v>
      </c>
      <c r="AI11" s="4">
        <v>0</v>
      </c>
      <c r="AJ11" s="4">
        <v>4</v>
      </c>
      <c r="AK11" s="4">
        <v>4</v>
      </c>
      <c r="AL11" s="4">
        <v>4</v>
      </c>
      <c r="AM11" s="30">
        <f t="shared" si="4"/>
        <v>34</v>
      </c>
      <c r="AN11" s="31">
        <f>VLOOKUP($A11,'Mark Base'!$A:$Z,21,FALSE)</f>
        <v>56.139234492940147</v>
      </c>
      <c r="AO11" s="4">
        <v>7.5</v>
      </c>
      <c r="AP11" s="4">
        <v>3</v>
      </c>
      <c r="AQ11" s="4">
        <v>4.5</v>
      </c>
      <c r="AR11" s="12">
        <v>1</v>
      </c>
      <c r="AS11" s="12">
        <v>2</v>
      </c>
      <c r="AT11" s="4">
        <v>0.98048125778060613</v>
      </c>
      <c r="AU11" s="30">
        <f t="shared" si="5"/>
        <v>48</v>
      </c>
      <c r="AV11" s="31">
        <f t="shared" si="6"/>
        <v>36.323895935506137</v>
      </c>
      <c r="AW11" s="4">
        <v>5</v>
      </c>
      <c r="AX11" s="4">
        <v>40</v>
      </c>
      <c r="AY11" s="4">
        <v>19.718567517587747</v>
      </c>
      <c r="AZ11" s="4">
        <v>5</v>
      </c>
      <c r="BA11" s="12" t="s">
        <v>154</v>
      </c>
      <c r="BB11" s="4" t="s">
        <v>154</v>
      </c>
      <c r="BC11" s="30">
        <f t="shared" si="7"/>
        <v>38</v>
      </c>
      <c r="BD11" s="31">
        <f t="shared" si="8"/>
        <v>43.146551724137936</v>
      </c>
      <c r="BE11" s="4">
        <v>18.5</v>
      </c>
      <c r="BF11" s="4">
        <v>4.5</v>
      </c>
      <c r="BG11" s="30">
        <f t="shared" si="9"/>
        <v>31</v>
      </c>
      <c r="BH11" s="31">
        <f t="shared" si="10"/>
        <v>55.555555555555557</v>
      </c>
      <c r="BI11" s="4">
        <v>5</v>
      </c>
    </row>
    <row r="12" spans="1:61" x14ac:dyDescent="0.2">
      <c r="A12" s="2" t="s">
        <v>19</v>
      </c>
      <c r="B12" s="3" t="s">
        <v>20</v>
      </c>
      <c r="C12" s="3" t="s">
        <v>21</v>
      </c>
      <c r="D12" s="3" t="s">
        <v>22</v>
      </c>
      <c r="E12" s="3" t="s">
        <v>9</v>
      </c>
      <c r="F12" s="3" t="s">
        <v>162</v>
      </c>
      <c r="G12" s="3" t="s">
        <v>158</v>
      </c>
      <c r="H12" s="30">
        <f t="shared" si="0"/>
        <v>25</v>
      </c>
      <c r="I12" s="31">
        <f>VLOOKUP($A12,'Seed Base'!$A:$S,19,FALSE)</f>
        <v>64.412952487516904</v>
      </c>
      <c r="J12" s="4">
        <v>7</v>
      </c>
      <c r="K12" s="4">
        <v>5</v>
      </c>
      <c r="L12" s="4">
        <v>7</v>
      </c>
      <c r="M12" s="12">
        <v>517</v>
      </c>
      <c r="N12" s="4">
        <v>24.452794304084573</v>
      </c>
      <c r="O12" s="30">
        <f t="shared" si="1"/>
        <v>45</v>
      </c>
      <c r="P12" s="31">
        <f>VLOOKUP($A12,'Fert Base'!$A:$S,19,FALSE)</f>
        <v>39.285714285714285</v>
      </c>
      <c r="Q12" s="4">
        <v>1</v>
      </c>
      <c r="R12" s="4">
        <v>7</v>
      </c>
      <c r="S12" s="4">
        <v>3</v>
      </c>
      <c r="T12" s="12" t="s">
        <v>155</v>
      </c>
      <c r="U12" s="4" t="s">
        <v>155</v>
      </c>
      <c r="V12" s="30">
        <f t="shared" si="2"/>
        <v>52</v>
      </c>
      <c r="W12" s="31">
        <f>VLOOKUP($A12,'Mech Base'!$A:$Z,24,FALSE)</f>
        <v>25.833333333333336</v>
      </c>
      <c r="X12" s="4">
        <v>0.5</v>
      </c>
      <c r="Y12" s="4">
        <v>2.3333333333333335</v>
      </c>
      <c r="Z12" s="4">
        <v>4.5</v>
      </c>
      <c r="AA12" s="12" t="s">
        <v>155</v>
      </c>
      <c r="AB12" s="4" t="s">
        <v>155</v>
      </c>
      <c r="AC12" s="12" t="s">
        <v>154</v>
      </c>
      <c r="AD12" s="4" t="s">
        <v>154</v>
      </c>
      <c r="AE12" s="30">
        <f t="shared" si="3"/>
        <v>13</v>
      </c>
      <c r="AF12" s="31">
        <f>100*AVERAGE(IF(VLOOKUP(A12,'Data Gaps'!A:O,15,FALSE)="X",'EBA2017'!AH12/4,AVERAGE(AG12/5,AH12/4)),AVERAGE(AI12/5,AJ12/8),IF(VLOOKUP(A12,'Data Gaps'!A:O,15,FALSE)="X",'EBA2017'!AL12/7,AVERAGE(AK12/7,AL12/7)))</f>
        <v>67.480158730158735</v>
      </c>
      <c r="AG12" s="4">
        <v>0</v>
      </c>
      <c r="AH12" s="4">
        <v>3.6666666666666661</v>
      </c>
      <c r="AI12" s="4">
        <v>4.5</v>
      </c>
      <c r="AJ12" s="4">
        <v>3</v>
      </c>
      <c r="AK12" s="4">
        <v>6</v>
      </c>
      <c r="AL12" s="4">
        <v>7</v>
      </c>
      <c r="AM12" s="30">
        <f t="shared" si="4"/>
        <v>22</v>
      </c>
      <c r="AN12" s="31">
        <f>VLOOKUP($A12,'Mark Base'!$A:$Z,21,FALSE)</f>
        <v>65.507462885729979</v>
      </c>
      <c r="AO12" s="4">
        <v>10.75</v>
      </c>
      <c r="AP12" s="4">
        <v>4</v>
      </c>
      <c r="AQ12" s="4">
        <v>5</v>
      </c>
      <c r="AR12" s="12">
        <v>1</v>
      </c>
      <c r="AS12" s="12">
        <v>2</v>
      </c>
      <c r="AT12" s="4">
        <v>1.8574718750218087</v>
      </c>
      <c r="AU12" s="30">
        <f t="shared" si="5"/>
        <v>15</v>
      </c>
      <c r="AV12" s="31">
        <f t="shared" si="6"/>
        <v>70.312894971736796</v>
      </c>
      <c r="AW12" s="4">
        <v>4.5000000000000009</v>
      </c>
      <c r="AX12" s="4">
        <v>4.5</v>
      </c>
      <c r="AY12" s="4">
        <v>0.16458611550826152</v>
      </c>
      <c r="AZ12" s="4">
        <v>5</v>
      </c>
      <c r="BA12" s="12">
        <v>10</v>
      </c>
      <c r="BB12" s="4">
        <v>6.1688311688311686</v>
      </c>
      <c r="BC12" s="30">
        <f t="shared" si="7"/>
        <v>43</v>
      </c>
      <c r="BD12" s="31">
        <f t="shared" si="8"/>
        <v>35.517241379310349</v>
      </c>
      <c r="BE12" s="4">
        <v>9</v>
      </c>
      <c r="BF12" s="4">
        <v>8</v>
      </c>
      <c r="BG12" s="30">
        <f t="shared" si="9"/>
        <v>30</v>
      </c>
      <c r="BH12" s="31">
        <f t="shared" si="10"/>
        <v>58.333333333333336</v>
      </c>
      <c r="BI12" s="4">
        <v>5.25</v>
      </c>
    </row>
    <row r="13" spans="1:61" x14ac:dyDescent="0.2">
      <c r="A13" s="2" t="s">
        <v>23</v>
      </c>
      <c r="B13" s="3" t="s">
        <v>24</v>
      </c>
      <c r="C13" s="3" t="s">
        <v>7</v>
      </c>
      <c r="D13" s="3" t="s">
        <v>8</v>
      </c>
      <c r="E13" s="3" t="s">
        <v>25</v>
      </c>
      <c r="F13" s="3" t="s">
        <v>161</v>
      </c>
      <c r="G13" s="3" t="s">
        <v>163</v>
      </c>
      <c r="H13" s="30">
        <f t="shared" si="0"/>
        <v>56</v>
      </c>
      <c r="I13" s="31">
        <f>VLOOKUP($A13,'Seed Base'!$A:$S,19,FALSE)</f>
        <v>32.083333333333329</v>
      </c>
      <c r="J13" s="4">
        <v>7</v>
      </c>
      <c r="K13" s="4">
        <v>2</v>
      </c>
      <c r="L13" s="4">
        <v>4</v>
      </c>
      <c r="M13" s="12" t="s">
        <v>154</v>
      </c>
      <c r="N13" s="4" t="s">
        <v>154</v>
      </c>
      <c r="O13" s="30">
        <f t="shared" si="1"/>
        <v>1</v>
      </c>
      <c r="P13" s="31">
        <f>VLOOKUP($A13,'Fert Base'!$A:$S,19,FALSE)</f>
        <v>96.156543400517208</v>
      </c>
      <c r="Q13" s="4">
        <v>6</v>
      </c>
      <c r="R13" s="4">
        <v>7</v>
      </c>
      <c r="S13" s="4">
        <v>7</v>
      </c>
      <c r="T13" s="12">
        <v>31</v>
      </c>
      <c r="U13" s="4">
        <v>0.467995248171379</v>
      </c>
      <c r="V13" s="30">
        <f t="shared" si="2"/>
        <v>34</v>
      </c>
      <c r="W13" s="31">
        <f>VLOOKUP($A13,'Mech Base'!$A:$Z,24,FALSE)</f>
        <v>51.414610240167022</v>
      </c>
      <c r="X13" s="4">
        <v>1</v>
      </c>
      <c r="Y13" s="4">
        <v>5.3333333333333321</v>
      </c>
      <c r="Z13" s="4">
        <v>5</v>
      </c>
      <c r="AA13" s="12" t="s">
        <v>155</v>
      </c>
      <c r="AB13" s="4" t="s">
        <v>155</v>
      </c>
      <c r="AC13" s="12">
        <v>7</v>
      </c>
      <c r="AD13" s="4">
        <v>13.371292804896543</v>
      </c>
      <c r="AE13" s="30">
        <f t="shared" si="3"/>
        <v>60</v>
      </c>
      <c r="AF13" s="31">
        <f>100*AVERAGE(IF(VLOOKUP(A13,'Data Gaps'!A:O,15,FALSE)="X",'EBA2017'!AH13/4,AVERAGE(AG13/5,AH13/4)),AVERAGE(AI13/5,AJ13/8),IF(VLOOKUP(A13,'Data Gaps'!A:O,15,FALSE)="X",'EBA2017'!AL13/7,AVERAGE(AK13/7,AL13/7)))</f>
        <v>23.333333333333332</v>
      </c>
      <c r="AG13" s="4">
        <v>0</v>
      </c>
      <c r="AH13" s="4">
        <v>0</v>
      </c>
      <c r="AI13" s="4">
        <v>3.25</v>
      </c>
      <c r="AJ13" s="4">
        <v>6</v>
      </c>
      <c r="AK13" s="4">
        <v>0</v>
      </c>
      <c r="AL13" s="4">
        <v>0</v>
      </c>
      <c r="AM13" s="30">
        <f t="shared" si="4"/>
        <v>11</v>
      </c>
      <c r="AN13" s="31">
        <f>VLOOKUP($A13,'Mark Base'!$A:$Z,21,FALSE)</f>
        <v>74.885213428051827</v>
      </c>
      <c r="AO13" s="4">
        <v>8.5</v>
      </c>
      <c r="AP13" s="4">
        <v>6</v>
      </c>
      <c r="AQ13" s="4">
        <v>6.5</v>
      </c>
      <c r="AR13" s="12">
        <v>1</v>
      </c>
      <c r="AS13" s="12">
        <v>1</v>
      </c>
      <c r="AT13" s="4">
        <v>0.26742585609793085</v>
      </c>
      <c r="AU13" s="30">
        <f t="shared" si="5"/>
        <v>32</v>
      </c>
      <c r="AV13" s="31">
        <f t="shared" si="6"/>
        <v>57.440231963068825</v>
      </c>
      <c r="AW13" s="4">
        <v>6.5</v>
      </c>
      <c r="AX13" s="4">
        <v>90</v>
      </c>
      <c r="AY13" s="4">
        <v>6.0170817622034436</v>
      </c>
      <c r="AZ13" s="4">
        <v>5.9999999999999991</v>
      </c>
      <c r="BA13" s="12">
        <v>37.5</v>
      </c>
      <c r="BB13" s="4">
        <v>6.7525028664727538</v>
      </c>
      <c r="BC13" s="30">
        <f t="shared" si="7"/>
        <v>6</v>
      </c>
      <c r="BD13" s="31">
        <f t="shared" si="8"/>
        <v>81.465517241379317</v>
      </c>
      <c r="BE13" s="4">
        <v>25.5</v>
      </c>
      <c r="BF13" s="4">
        <v>15</v>
      </c>
      <c r="BG13" s="30">
        <f t="shared" si="9"/>
        <v>31</v>
      </c>
      <c r="BH13" s="31">
        <f t="shared" si="10"/>
        <v>55.555555555555557</v>
      </c>
      <c r="BI13" s="4">
        <v>5</v>
      </c>
    </row>
    <row r="14" spans="1:61" x14ac:dyDescent="0.2">
      <c r="A14" s="2" t="s">
        <v>26</v>
      </c>
      <c r="B14" s="3" t="s">
        <v>27</v>
      </c>
      <c r="C14" s="3" t="s">
        <v>16</v>
      </c>
      <c r="D14" s="3" t="s">
        <v>17</v>
      </c>
      <c r="E14" s="3" t="s">
        <v>18</v>
      </c>
      <c r="F14" s="3" t="s">
        <v>159</v>
      </c>
      <c r="G14" s="3" t="s">
        <v>158</v>
      </c>
      <c r="H14" s="30">
        <f t="shared" si="0"/>
        <v>57</v>
      </c>
      <c r="I14" s="31">
        <f>VLOOKUP($A14,'Seed Base'!$A:$S,19,FALSE)</f>
        <v>28.958333333333329</v>
      </c>
      <c r="J14" s="4">
        <v>2</v>
      </c>
      <c r="K14" s="4">
        <v>4</v>
      </c>
      <c r="L14" s="4">
        <v>5.5</v>
      </c>
      <c r="M14" s="12" t="s">
        <v>154</v>
      </c>
      <c r="N14" s="4" t="s">
        <v>154</v>
      </c>
      <c r="O14" s="30">
        <f t="shared" si="1"/>
        <v>56</v>
      </c>
      <c r="P14" s="31">
        <f>VLOOKUP($A14,'Fert Base'!$A:$S,19,FALSE)</f>
        <v>23.214285714285715</v>
      </c>
      <c r="Q14" s="4">
        <v>0</v>
      </c>
      <c r="R14" s="4">
        <v>3.5</v>
      </c>
      <c r="S14" s="4">
        <v>3</v>
      </c>
      <c r="T14" s="12" t="s">
        <v>155</v>
      </c>
      <c r="U14" s="4" t="s">
        <v>155</v>
      </c>
      <c r="V14" s="30">
        <f t="shared" si="2"/>
        <v>32</v>
      </c>
      <c r="W14" s="31">
        <f>VLOOKUP($A14,'Mech Base'!$A:$Z,24,FALSE)</f>
        <v>52.629141955497758</v>
      </c>
      <c r="X14" s="4">
        <v>2.5</v>
      </c>
      <c r="Y14" s="4">
        <v>3.3333333333333339</v>
      </c>
      <c r="Z14" s="4">
        <v>1.5</v>
      </c>
      <c r="AA14" s="12">
        <v>4</v>
      </c>
      <c r="AB14" s="4">
        <v>11.102716600915983</v>
      </c>
      <c r="AC14" s="12">
        <v>30</v>
      </c>
      <c r="AD14" s="4">
        <v>5.6216286586916366</v>
      </c>
      <c r="AE14" s="30">
        <f t="shared" si="3"/>
        <v>41</v>
      </c>
      <c r="AF14" s="31">
        <f>100*AVERAGE(IF(VLOOKUP(A14,'Data Gaps'!A:O,15,FALSE)="X",'EBA2017'!AH14/4,AVERAGE(AG14/5,AH14/4)),AVERAGE(AI14/5,AJ14/8),IF(VLOOKUP(A14,'Data Gaps'!A:O,15,FALSE)="X",'EBA2017'!AL14/7,AVERAGE(AK14/7,AL14/7)))</f>
        <v>43.353174603174608</v>
      </c>
      <c r="AG14" s="4">
        <v>0</v>
      </c>
      <c r="AH14" s="4">
        <v>3.8333333333333339</v>
      </c>
      <c r="AI14" s="4">
        <v>0</v>
      </c>
      <c r="AJ14" s="4">
        <v>4</v>
      </c>
      <c r="AK14" s="4">
        <v>4</v>
      </c>
      <c r="AL14" s="4">
        <v>4</v>
      </c>
      <c r="AM14" s="30">
        <f t="shared" si="4"/>
        <v>37</v>
      </c>
      <c r="AN14" s="31">
        <f>VLOOKUP($A14,'Mark Base'!$A:$Z,21,FALSE)</f>
        <v>54.628521569404676</v>
      </c>
      <c r="AO14" s="4">
        <v>9.75</v>
      </c>
      <c r="AP14" s="4">
        <v>2</v>
      </c>
      <c r="AQ14" s="4">
        <v>5</v>
      </c>
      <c r="AR14" s="12">
        <v>2</v>
      </c>
      <c r="AS14" s="12">
        <v>2</v>
      </c>
      <c r="AT14" s="4">
        <v>2.2486514634766546</v>
      </c>
      <c r="AU14" s="30">
        <f t="shared" si="5"/>
        <v>12</v>
      </c>
      <c r="AV14" s="31">
        <f t="shared" si="6"/>
        <v>72.234753177835714</v>
      </c>
      <c r="AW14" s="4">
        <v>4.5000000000000009</v>
      </c>
      <c r="AX14" s="4">
        <v>1</v>
      </c>
      <c r="AY14" s="4">
        <v>3.0356794756934842</v>
      </c>
      <c r="AZ14" s="4">
        <v>5</v>
      </c>
      <c r="BA14" s="12">
        <v>1</v>
      </c>
      <c r="BB14" s="4">
        <v>3.3167609086280656</v>
      </c>
      <c r="BC14" s="30">
        <f t="shared" si="7"/>
        <v>47</v>
      </c>
      <c r="BD14" s="31">
        <f t="shared" si="8"/>
        <v>31.163793103448278</v>
      </c>
      <c r="BE14" s="4">
        <v>13</v>
      </c>
      <c r="BF14" s="4">
        <v>3.5</v>
      </c>
      <c r="BG14" s="30">
        <f t="shared" si="9"/>
        <v>59</v>
      </c>
      <c r="BH14" s="31">
        <f t="shared" si="10"/>
        <v>27.777777777777779</v>
      </c>
      <c r="BI14" s="4">
        <v>2.5</v>
      </c>
    </row>
    <row r="15" spans="1:61" x14ac:dyDescent="0.2">
      <c r="A15" s="2" t="s">
        <v>28</v>
      </c>
      <c r="B15" s="3" t="s">
        <v>29</v>
      </c>
      <c r="C15" s="3" t="s">
        <v>16</v>
      </c>
      <c r="D15" s="3" t="s">
        <v>17</v>
      </c>
      <c r="E15" s="3" t="s">
        <v>18</v>
      </c>
      <c r="F15" s="3" t="s">
        <v>160</v>
      </c>
      <c r="G15" s="3" t="s">
        <v>158</v>
      </c>
      <c r="H15" s="30">
        <f t="shared" si="0"/>
        <v>40</v>
      </c>
      <c r="I15" s="31">
        <f>VLOOKUP($A15,'Seed Base'!$A:$S,19,FALSE)</f>
        <v>50.104166666666657</v>
      </c>
      <c r="J15" s="4">
        <v>9</v>
      </c>
      <c r="K15" s="4">
        <v>3.5</v>
      </c>
      <c r="L15" s="4">
        <v>8</v>
      </c>
      <c r="M15" s="12" t="s">
        <v>154</v>
      </c>
      <c r="N15" s="4" t="s">
        <v>154</v>
      </c>
      <c r="O15" s="30">
        <f t="shared" si="1"/>
        <v>42</v>
      </c>
      <c r="P15" s="31">
        <f>VLOOKUP($A15,'Fert Base'!$A:$S,19,FALSE)</f>
        <v>41.666666666666664</v>
      </c>
      <c r="Q15" s="4">
        <v>3</v>
      </c>
      <c r="R15" s="4">
        <v>3.9999999999999996</v>
      </c>
      <c r="S15" s="4">
        <v>4</v>
      </c>
      <c r="T15" s="12" t="s">
        <v>154</v>
      </c>
      <c r="U15" s="4" t="s">
        <v>154</v>
      </c>
      <c r="V15" s="30">
        <f t="shared" si="2"/>
        <v>50</v>
      </c>
      <c r="W15" s="31">
        <f>VLOOKUP($A15,'Mech Base'!$A:$Z,24,FALSE)</f>
        <v>30</v>
      </c>
      <c r="X15" s="4">
        <v>2.5</v>
      </c>
      <c r="Y15" s="4">
        <v>0</v>
      </c>
      <c r="Z15" s="4">
        <v>5</v>
      </c>
      <c r="AA15" s="12" t="s">
        <v>155</v>
      </c>
      <c r="AB15" s="4" t="s">
        <v>155</v>
      </c>
      <c r="AC15" s="12" t="s">
        <v>154</v>
      </c>
      <c r="AD15" s="4" t="s">
        <v>154</v>
      </c>
      <c r="AE15" s="30">
        <f t="shared" si="3"/>
        <v>59</v>
      </c>
      <c r="AF15" s="31">
        <f>100*AVERAGE(IF(VLOOKUP(A15,'Data Gaps'!A:O,15,FALSE)="X",'EBA2017'!AH15/4,AVERAGE(AG15/5,AH15/4)),AVERAGE(AI15/5,AJ15/8),IF(VLOOKUP(A15,'Data Gaps'!A:O,15,FALSE)="X",'EBA2017'!AL15/7,AVERAGE(AK15/7,AL15/7)))</f>
        <v>23.511904761904759</v>
      </c>
      <c r="AG15" s="4">
        <v>0</v>
      </c>
      <c r="AH15" s="4">
        <v>0</v>
      </c>
      <c r="AI15" s="4">
        <v>0</v>
      </c>
      <c r="AJ15" s="4">
        <v>1</v>
      </c>
      <c r="AK15" s="4">
        <v>5</v>
      </c>
      <c r="AL15" s="4">
        <v>4</v>
      </c>
      <c r="AM15" s="30">
        <f t="shared" si="4"/>
        <v>55</v>
      </c>
      <c r="AN15" s="31">
        <f>VLOOKUP($A15,'Mark Base'!$A:$Z,21,FALSE)</f>
        <v>39.934699701619842</v>
      </c>
      <c r="AO15" s="4">
        <v>7</v>
      </c>
      <c r="AP15" s="4">
        <v>3</v>
      </c>
      <c r="AQ15" s="4">
        <v>3</v>
      </c>
      <c r="AR15" s="12">
        <v>4</v>
      </c>
      <c r="AS15" s="12">
        <v>4</v>
      </c>
      <c r="AT15" s="4">
        <v>3.0611249214041747</v>
      </c>
      <c r="AU15" s="30">
        <f t="shared" si="5"/>
        <v>30</v>
      </c>
      <c r="AV15" s="31">
        <f t="shared" si="6"/>
        <v>59.166186803527523</v>
      </c>
      <c r="AW15" s="4">
        <v>2.9999999999999996</v>
      </c>
      <c r="AX15" s="4">
        <v>1</v>
      </c>
      <c r="AY15" s="4">
        <v>4.6226591987378054</v>
      </c>
      <c r="AZ15" s="4">
        <v>5.9999999999999991</v>
      </c>
      <c r="BA15" s="12">
        <v>1</v>
      </c>
      <c r="BB15" s="4">
        <v>76.923076923076934</v>
      </c>
      <c r="BC15" s="30">
        <f t="shared" si="7"/>
        <v>33</v>
      </c>
      <c r="BD15" s="31">
        <f t="shared" si="8"/>
        <v>48.40517241379311</v>
      </c>
      <c r="BE15" s="4">
        <v>8.5</v>
      </c>
      <c r="BF15" s="4">
        <v>13.5</v>
      </c>
      <c r="BG15" s="30">
        <f t="shared" si="9"/>
        <v>52</v>
      </c>
      <c r="BH15" s="31">
        <f t="shared" si="10"/>
        <v>38.888888888888893</v>
      </c>
      <c r="BI15" s="4">
        <v>3.5000000000000004</v>
      </c>
    </row>
    <row r="16" spans="1:61" x14ac:dyDescent="0.2">
      <c r="A16" s="2" t="s">
        <v>30</v>
      </c>
      <c r="B16" s="3" t="s">
        <v>31</v>
      </c>
      <c r="C16" s="3" t="s">
        <v>32</v>
      </c>
      <c r="D16" s="3" t="s">
        <v>33</v>
      </c>
      <c r="E16" s="3" t="s">
        <v>9</v>
      </c>
      <c r="F16" s="3" t="s">
        <v>162</v>
      </c>
      <c r="G16" s="3" t="s">
        <v>158</v>
      </c>
      <c r="H16" s="30">
        <f t="shared" si="0"/>
        <v>38</v>
      </c>
      <c r="I16" s="31">
        <f>VLOOKUP($A16,'Seed Base'!$A:$S,19,FALSE)</f>
        <v>51.798351314274527</v>
      </c>
      <c r="J16" s="4">
        <v>8</v>
      </c>
      <c r="K16" s="4">
        <v>2</v>
      </c>
      <c r="L16" s="4">
        <v>3</v>
      </c>
      <c r="M16" s="12">
        <v>407</v>
      </c>
      <c r="N16" s="4">
        <v>17.251872921867157</v>
      </c>
      <c r="O16" s="30">
        <f t="shared" si="1"/>
        <v>25</v>
      </c>
      <c r="P16" s="31">
        <f>VLOOKUP($A16,'Fert Base'!$A:$S,19,FALSE)</f>
        <v>65.823491198162401</v>
      </c>
      <c r="Q16" s="4">
        <v>3.4</v>
      </c>
      <c r="R16" s="4">
        <v>5</v>
      </c>
      <c r="S16" s="4">
        <v>4</v>
      </c>
      <c r="T16" s="12">
        <v>152</v>
      </c>
      <c r="U16" s="4">
        <v>107.79800684624885</v>
      </c>
      <c r="V16" s="30">
        <f t="shared" si="2"/>
        <v>44</v>
      </c>
      <c r="W16" s="31">
        <f>VLOOKUP($A16,'Mech Base'!$A:$Z,24,FALSE)</f>
        <v>39.762209050349462</v>
      </c>
      <c r="X16" s="4">
        <v>2.5</v>
      </c>
      <c r="Y16" s="4">
        <v>0.33333333333333326</v>
      </c>
      <c r="Z16" s="4">
        <v>5</v>
      </c>
      <c r="AA16" s="12" t="s">
        <v>155</v>
      </c>
      <c r="AB16" s="4" t="s">
        <v>155</v>
      </c>
      <c r="AC16" s="12">
        <v>14</v>
      </c>
      <c r="AD16" s="4">
        <v>22.464236159388342</v>
      </c>
      <c r="AE16" s="30">
        <f t="shared" si="3"/>
        <v>48</v>
      </c>
      <c r="AF16" s="31">
        <f>100*AVERAGE(IF(VLOOKUP(A16,'Data Gaps'!A:O,15,FALSE)="X",'EBA2017'!AH16/4,AVERAGE(AG16/5,AH16/4)),AVERAGE(AI16/5,AJ16/8),IF(VLOOKUP(A16,'Data Gaps'!A:O,15,FALSE)="X",'EBA2017'!AL16/7,AVERAGE(AK16/7,AL16/7)))</f>
        <v>40.952380952380956</v>
      </c>
      <c r="AG16" s="4">
        <v>3.625</v>
      </c>
      <c r="AH16" s="4">
        <v>0</v>
      </c>
      <c r="AI16" s="4">
        <v>0</v>
      </c>
      <c r="AJ16" s="4">
        <v>7</v>
      </c>
      <c r="AK16" s="4">
        <v>6</v>
      </c>
      <c r="AL16" s="4">
        <v>0</v>
      </c>
      <c r="AM16" s="30">
        <f t="shared" si="4"/>
        <v>46</v>
      </c>
      <c r="AN16" s="31">
        <f>VLOOKUP($A16,'Mark Base'!$A:$Z,21,FALSE)</f>
        <v>49.434246309246312</v>
      </c>
      <c r="AO16" s="4">
        <v>8.75</v>
      </c>
      <c r="AP16" s="4">
        <v>3</v>
      </c>
      <c r="AQ16" s="4">
        <v>5.5</v>
      </c>
      <c r="AR16" s="12">
        <v>2</v>
      </c>
      <c r="AS16" s="12">
        <v>6</v>
      </c>
      <c r="AT16" s="4">
        <v>5.2364132710667244</v>
      </c>
      <c r="AU16" s="30">
        <f t="shared" si="5"/>
        <v>34</v>
      </c>
      <c r="AV16" s="31">
        <f t="shared" si="6"/>
        <v>53.447316543439818</v>
      </c>
      <c r="AW16" s="4">
        <v>4.0000000000000009</v>
      </c>
      <c r="AX16" s="4">
        <v>8</v>
      </c>
      <c r="AY16" s="4">
        <v>36.95366848219382</v>
      </c>
      <c r="AZ16" s="4">
        <v>5</v>
      </c>
      <c r="BA16" s="12">
        <v>7</v>
      </c>
      <c r="BB16" s="4">
        <v>22.464236159388342</v>
      </c>
      <c r="BC16" s="30">
        <f t="shared" si="7"/>
        <v>37</v>
      </c>
      <c r="BD16" s="31">
        <f t="shared" si="8"/>
        <v>44.698275862068968</v>
      </c>
      <c r="BE16" s="4">
        <v>16.5</v>
      </c>
      <c r="BF16" s="4">
        <v>6.5</v>
      </c>
      <c r="BG16" s="30">
        <f t="shared" si="9"/>
        <v>43</v>
      </c>
      <c r="BH16" s="31">
        <f t="shared" si="10"/>
        <v>44.444444444444443</v>
      </c>
      <c r="BI16" s="4">
        <v>4</v>
      </c>
    </row>
    <row r="17" spans="1:61" x14ac:dyDescent="0.2">
      <c r="A17" s="2" t="s">
        <v>34</v>
      </c>
      <c r="B17" s="3" t="s">
        <v>35</v>
      </c>
      <c r="C17" s="3" t="s">
        <v>16</v>
      </c>
      <c r="D17" s="3" t="s">
        <v>17</v>
      </c>
      <c r="E17" s="3" t="s">
        <v>9</v>
      </c>
      <c r="F17" s="3" t="s">
        <v>160</v>
      </c>
      <c r="G17" s="3" t="s">
        <v>158</v>
      </c>
      <c r="H17" s="30">
        <f t="shared" si="0"/>
        <v>58</v>
      </c>
      <c r="I17" s="31">
        <f>VLOOKUP($A17,'Seed Base'!$A:$S,19,FALSE)</f>
        <v>24.6875</v>
      </c>
      <c r="J17" s="4">
        <v>3</v>
      </c>
      <c r="K17" s="4">
        <v>3.5</v>
      </c>
      <c r="L17" s="4">
        <v>3</v>
      </c>
      <c r="M17" s="12" t="s">
        <v>154</v>
      </c>
      <c r="N17" s="4" t="s">
        <v>154</v>
      </c>
      <c r="O17" s="30">
        <f t="shared" si="1"/>
        <v>48</v>
      </c>
      <c r="P17" s="31">
        <f>VLOOKUP($A17,'Fert Base'!$A:$S,19,FALSE)</f>
        <v>37.5</v>
      </c>
      <c r="Q17" s="4">
        <v>0</v>
      </c>
      <c r="R17" s="4">
        <v>3.5</v>
      </c>
      <c r="S17" s="4">
        <v>6</v>
      </c>
      <c r="T17" s="12" t="s">
        <v>155</v>
      </c>
      <c r="U17" s="4" t="s">
        <v>155</v>
      </c>
      <c r="V17" s="30">
        <f t="shared" si="2"/>
        <v>37</v>
      </c>
      <c r="W17" s="31">
        <f>VLOOKUP($A17,'Mech Base'!$A:$Z,24,FALSE)</f>
        <v>46.301630366038758</v>
      </c>
      <c r="X17" s="4">
        <v>2.5</v>
      </c>
      <c r="Y17" s="4">
        <v>6.5</v>
      </c>
      <c r="Z17" s="4">
        <v>2</v>
      </c>
      <c r="AA17" s="12">
        <v>90</v>
      </c>
      <c r="AB17" s="4">
        <v>270.6929534935411</v>
      </c>
      <c r="AC17" s="12" t="s">
        <v>154</v>
      </c>
      <c r="AD17" s="4" t="s">
        <v>154</v>
      </c>
      <c r="AE17" s="30">
        <f t="shared" si="3"/>
        <v>51</v>
      </c>
      <c r="AF17" s="31">
        <f>100*AVERAGE(IF(VLOOKUP(A17,'Data Gaps'!A:O,15,FALSE)="X",'EBA2017'!AH17/4,AVERAGE(AG17/5,AH17/4)),AVERAGE(AI17/5,AJ17/8),IF(VLOOKUP(A17,'Data Gaps'!A:O,15,FALSE)="X",'EBA2017'!AL17/7,AVERAGE(AK17/7,AL17/7)))</f>
        <v>36.30952380952381</v>
      </c>
      <c r="AG17" s="4">
        <v>0</v>
      </c>
      <c r="AH17" s="4">
        <v>1</v>
      </c>
      <c r="AI17" s="4">
        <v>0</v>
      </c>
      <c r="AJ17" s="4">
        <v>4</v>
      </c>
      <c r="AK17" s="4">
        <v>5</v>
      </c>
      <c r="AL17" s="4">
        <v>5</v>
      </c>
      <c r="AM17" s="30">
        <f t="shared" si="4"/>
        <v>41</v>
      </c>
      <c r="AN17" s="31">
        <f>VLOOKUP($A17,'Mark Base'!$A:$Z,21,FALSE)</f>
        <v>53.04783426872288</v>
      </c>
      <c r="AO17" s="4">
        <v>10</v>
      </c>
      <c r="AP17" s="4">
        <v>4</v>
      </c>
      <c r="AQ17" s="4">
        <v>2</v>
      </c>
      <c r="AR17" s="12">
        <v>1</v>
      </c>
      <c r="AS17" s="12">
        <v>8</v>
      </c>
      <c r="AT17" s="4">
        <v>0.68778264357688079</v>
      </c>
      <c r="AU17" s="30">
        <f t="shared" si="5"/>
        <v>31</v>
      </c>
      <c r="AV17" s="31">
        <f t="shared" si="6"/>
        <v>58.870470313646209</v>
      </c>
      <c r="AW17" s="4">
        <v>5.8333333333333339</v>
      </c>
      <c r="AX17" s="4">
        <v>65</v>
      </c>
      <c r="AY17" s="4">
        <v>2.3384609881613945</v>
      </c>
      <c r="AZ17" s="4">
        <v>7.0000000000000009</v>
      </c>
      <c r="BA17" s="12">
        <v>60</v>
      </c>
      <c r="BB17" s="4">
        <v>1.3755652871537616</v>
      </c>
      <c r="BC17" s="30">
        <f t="shared" si="7"/>
        <v>44</v>
      </c>
      <c r="BD17" s="31">
        <f t="shared" si="8"/>
        <v>35.258620689655174</v>
      </c>
      <c r="BE17" s="4">
        <v>4.5</v>
      </c>
      <c r="BF17" s="4">
        <v>11</v>
      </c>
      <c r="BG17" s="30">
        <f t="shared" si="9"/>
        <v>52</v>
      </c>
      <c r="BH17" s="31">
        <f t="shared" si="10"/>
        <v>38.888888888888893</v>
      </c>
      <c r="BI17" s="4">
        <v>3.5000000000000004</v>
      </c>
    </row>
    <row r="18" spans="1:61" x14ac:dyDescent="0.2">
      <c r="A18" s="2" t="s">
        <v>36</v>
      </c>
      <c r="B18" s="3" t="s">
        <v>37</v>
      </c>
      <c r="C18" s="3" t="s">
        <v>38</v>
      </c>
      <c r="D18" s="3" t="s">
        <v>39</v>
      </c>
      <c r="E18" s="3" t="s">
        <v>40</v>
      </c>
      <c r="F18" s="3" t="s">
        <v>159</v>
      </c>
      <c r="G18" s="3" t="s">
        <v>163</v>
      </c>
      <c r="H18" s="30">
        <f t="shared" si="0"/>
        <v>29</v>
      </c>
      <c r="I18" s="31">
        <f>VLOOKUP($A18,'Seed Base'!$A:$S,19,FALSE)</f>
        <v>61.771121667119544</v>
      </c>
      <c r="J18" s="4">
        <v>9</v>
      </c>
      <c r="K18" s="4">
        <v>6</v>
      </c>
      <c r="L18" s="4">
        <v>4</v>
      </c>
      <c r="M18" s="12">
        <v>848</v>
      </c>
      <c r="N18" s="4">
        <v>12.524716902469724</v>
      </c>
      <c r="O18" s="30">
        <f t="shared" si="1"/>
        <v>54</v>
      </c>
      <c r="P18" s="31">
        <f>VLOOKUP($A18,'Fert Base'!$A:$S,19,FALSE)</f>
        <v>26.785714285714285</v>
      </c>
      <c r="Q18" s="4">
        <v>0</v>
      </c>
      <c r="R18" s="4">
        <v>3.5</v>
      </c>
      <c r="S18" s="4">
        <v>4</v>
      </c>
      <c r="T18" s="12" t="s">
        <v>155</v>
      </c>
      <c r="U18" s="4" t="s">
        <v>155</v>
      </c>
      <c r="V18" s="30">
        <f t="shared" si="2"/>
        <v>28</v>
      </c>
      <c r="W18" s="31">
        <f>VLOOKUP($A18,'Mech Base'!$A:$Z,24,FALSE)</f>
        <v>54.698243449170803</v>
      </c>
      <c r="X18" s="4">
        <v>4</v>
      </c>
      <c r="Y18" s="4">
        <v>0</v>
      </c>
      <c r="Z18" s="4">
        <v>5</v>
      </c>
      <c r="AA18" s="12" t="s">
        <v>155</v>
      </c>
      <c r="AB18" s="4" t="s">
        <v>155</v>
      </c>
      <c r="AC18" s="12">
        <v>4</v>
      </c>
      <c r="AD18" s="4">
        <v>0.57098356697200725</v>
      </c>
      <c r="AE18" s="30">
        <f t="shared" si="3"/>
        <v>46</v>
      </c>
      <c r="AF18" s="31">
        <f>100*AVERAGE(IF(VLOOKUP(A18,'Data Gaps'!A:O,15,FALSE)="X",'EBA2017'!AH18/4,AVERAGE(AG18/5,AH18/4)),AVERAGE(AI18/5,AJ18/8),IF(VLOOKUP(A18,'Data Gaps'!A:O,15,FALSE)="X",'EBA2017'!AL18/7,AVERAGE(AK18/7,AL18/7)))</f>
        <v>42.61904761904762</v>
      </c>
      <c r="AG18" s="4">
        <v>0</v>
      </c>
      <c r="AH18" s="4">
        <v>1</v>
      </c>
      <c r="AI18" s="4">
        <v>3.5</v>
      </c>
      <c r="AJ18" s="4">
        <v>6</v>
      </c>
      <c r="AK18" s="4">
        <v>0</v>
      </c>
      <c r="AL18" s="4">
        <v>6</v>
      </c>
      <c r="AM18" s="30">
        <f t="shared" si="4"/>
        <v>9</v>
      </c>
      <c r="AN18" s="31">
        <f>VLOOKUP($A18,'Mark Base'!$A:$Z,21,FALSE)</f>
        <v>76.405870474532563</v>
      </c>
      <c r="AO18" s="4">
        <v>6</v>
      </c>
      <c r="AP18" s="4">
        <v>7</v>
      </c>
      <c r="AQ18" s="4">
        <v>7.5</v>
      </c>
      <c r="AR18" s="12">
        <v>1</v>
      </c>
      <c r="AS18" s="12">
        <v>1</v>
      </c>
      <c r="AT18" s="4">
        <v>9.6180469374906713E-6</v>
      </c>
      <c r="AU18" s="30">
        <f t="shared" si="5"/>
        <v>44</v>
      </c>
      <c r="AV18" s="31">
        <f t="shared" si="6"/>
        <v>44.435884266392748</v>
      </c>
      <c r="AW18" s="4">
        <v>2.9999999999999996</v>
      </c>
      <c r="AX18" s="4" t="s">
        <v>155</v>
      </c>
      <c r="AY18" s="4" t="s">
        <v>155</v>
      </c>
      <c r="AZ18" s="4">
        <v>5</v>
      </c>
      <c r="BA18" s="12">
        <v>7</v>
      </c>
      <c r="BB18" s="4">
        <v>0</v>
      </c>
      <c r="BC18" s="30">
        <f t="shared" si="7"/>
        <v>28</v>
      </c>
      <c r="BD18" s="31">
        <f t="shared" si="8"/>
        <v>55.172413793103445</v>
      </c>
      <c r="BE18" s="4">
        <v>17.5</v>
      </c>
      <c r="BF18" s="4">
        <v>10</v>
      </c>
      <c r="BG18" s="30">
        <f t="shared" si="9"/>
        <v>15</v>
      </c>
      <c r="BH18" s="31">
        <f t="shared" si="10"/>
        <v>72.222222222222214</v>
      </c>
      <c r="BI18" s="4">
        <v>6.4999999999999991</v>
      </c>
    </row>
    <row r="19" spans="1:61" x14ac:dyDescent="0.2">
      <c r="A19" s="2" t="s">
        <v>41</v>
      </c>
      <c r="B19" s="3" t="s">
        <v>42</v>
      </c>
      <c r="C19" s="3" t="s">
        <v>21</v>
      </c>
      <c r="D19" s="3" t="s">
        <v>22</v>
      </c>
      <c r="E19" s="3" t="s">
        <v>25</v>
      </c>
      <c r="F19" s="3" t="s">
        <v>160</v>
      </c>
      <c r="G19" s="3" t="s">
        <v>158</v>
      </c>
      <c r="H19" s="30">
        <f t="shared" si="0"/>
        <v>27</v>
      </c>
      <c r="I19" s="31">
        <f>VLOOKUP($A19,'Seed Base'!$A:$S,19,FALSE)</f>
        <v>63.190538024035867</v>
      </c>
      <c r="J19" s="4">
        <v>9</v>
      </c>
      <c r="K19" s="4">
        <v>4</v>
      </c>
      <c r="L19" s="4">
        <v>6.5</v>
      </c>
      <c r="M19" s="12">
        <v>591</v>
      </c>
      <c r="N19" s="4">
        <v>53.413718456254543</v>
      </c>
      <c r="O19" s="30">
        <f t="shared" si="1"/>
        <v>7</v>
      </c>
      <c r="P19" s="31">
        <f>VLOOKUP($A19,'Fert Base'!$A:$S,19,FALSE)</f>
        <v>81.576373254727883</v>
      </c>
      <c r="Q19" s="4">
        <v>6</v>
      </c>
      <c r="R19" s="4">
        <v>6</v>
      </c>
      <c r="S19" s="4">
        <v>4</v>
      </c>
      <c r="T19" s="12">
        <v>45</v>
      </c>
      <c r="U19" s="4">
        <v>7.8348733533794253</v>
      </c>
      <c r="V19" s="30">
        <f t="shared" si="2"/>
        <v>45</v>
      </c>
      <c r="W19" s="31">
        <f>VLOOKUP($A19,'Mech Base'!$A:$Z,24,FALSE)</f>
        <v>38.155679521220051</v>
      </c>
      <c r="X19" s="4">
        <v>1.5</v>
      </c>
      <c r="Y19" s="4">
        <v>0.33333333333333326</v>
      </c>
      <c r="Z19" s="4">
        <v>3</v>
      </c>
      <c r="AA19" s="12" t="s">
        <v>155</v>
      </c>
      <c r="AB19" s="4" t="s">
        <v>155</v>
      </c>
      <c r="AC19" s="12">
        <v>2</v>
      </c>
      <c r="AD19" s="4">
        <v>1.107402594117233</v>
      </c>
      <c r="AE19" s="30">
        <f t="shared" si="3"/>
        <v>1</v>
      </c>
      <c r="AF19" s="31">
        <f>100*AVERAGE(IF(VLOOKUP(A19,'Data Gaps'!A:O,15,FALSE)="X",'EBA2017'!AH19/4,AVERAGE(AG19/5,AH19/4)),AVERAGE(AI19/5,AJ19/8),IF(VLOOKUP(A19,'Data Gaps'!A:O,15,FALSE)="X",'EBA2017'!AL19/7,AVERAGE(AK19/7,AL19/7)))</f>
        <v>92.099206349206355</v>
      </c>
      <c r="AG19" s="4">
        <v>4.4749999999999996</v>
      </c>
      <c r="AH19" s="4">
        <v>3.6666666666666661</v>
      </c>
      <c r="AI19" s="4">
        <v>5</v>
      </c>
      <c r="AJ19" s="4">
        <v>8</v>
      </c>
      <c r="AK19" s="4">
        <v>5</v>
      </c>
      <c r="AL19" s="4">
        <v>7</v>
      </c>
      <c r="AM19" s="30">
        <f t="shared" si="4"/>
        <v>17</v>
      </c>
      <c r="AN19" s="31">
        <f>VLOOKUP($A19,'Mark Base'!$A:$Z,21,FALSE)</f>
        <v>70.083295422002436</v>
      </c>
      <c r="AO19" s="4">
        <v>9.1</v>
      </c>
      <c r="AP19" s="4">
        <v>6</v>
      </c>
      <c r="AQ19" s="4">
        <v>6</v>
      </c>
      <c r="AR19" s="12">
        <v>2</v>
      </c>
      <c r="AS19" s="12">
        <v>4</v>
      </c>
      <c r="AT19" s="4">
        <v>0.39989538120900087</v>
      </c>
      <c r="AU19" s="30">
        <f t="shared" si="5"/>
        <v>10</v>
      </c>
      <c r="AV19" s="31">
        <f t="shared" si="6"/>
        <v>73.921302842701621</v>
      </c>
      <c r="AW19" s="4">
        <v>8.0000000000000018</v>
      </c>
      <c r="AX19" s="4">
        <v>60</v>
      </c>
      <c r="AY19" s="4">
        <v>3.1622496298680995</v>
      </c>
      <c r="AZ19" s="4">
        <v>7.0000000000000009</v>
      </c>
      <c r="BA19" s="12">
        <v>15</v>
      </c>
      <c r="BB19" s="4">
        <v>0.76902957924807869</v>
      </c>
      <c r="BC19" s="30">
        <f t="shared" si="7"/>
        <v>3</v>
      </c>
      <c r="BD19" s="31">
        <f t="shared" si="8"/>
        <v>85.517241379310335</v>
      </c>
      <c r="BE19" s="4">
        <v>23.5</v>
      </c>
      <c r="BF19" s="4">
        <v>18</v>
      </c>
      <c r="BG19" s="30">
        <f t="shared" si="9"/>
        <v>9</v>
      </c>
      <c r="BH19" s="31">
        <f t="shared" si="10"/>
        <v>88.888888888888886</v>
      </c>
      <c r="BI19" s="4">
        <v>8</v>
      </c>
    </row>
    <row r="20" spans="1:61" x14ac:dyDescent="0.2">
      <c r="A20" s="2" t="s">
        <v>43</v>
      </c>
      <c r="B20" s="3" t="s">
        <v>44</v>
      </c>
      <c r="C20" s="3" t="s">
        <v>16</v>
      </c>
      <c r="D20" s="3" t="s">
        <v>17</v>
      </c>
      <c r="E20" s="3" t="s">
        <v>9</v>
      </c>
      <c r="F20" s="3" t="s">
        <v>160</v>
      </c>
      <c r="G20" s="3" t="s">
        <v>158</v>
      </c>
      <c r="H20" s="30">
        <f t="shared" si="0"/>
        <v>30</v>
      </c>
      <c r="I20" s="31">
        <f>VLOOKUP($A20,'Seed Base'!$A:$S,19,FALSE)</f>
        <v>60.201908203260714</v>
      </c>
      <c r="J20" s="4">
        <v>6</v>
      </c>
      <c r="K20" s="4">
        <v>6.5</v>
      </c>
      <c r="L20" s="4">
        <v>3</v>
      </c>
      <c r="M20" s="12">
        <v>368</v>
      </c>
      <c r="N20" s="4">
        <v>137.15734418444049</v>
      </c>
      <c r="O20" s="30">
        <f t="shared" si="1"/>
        <v>45</v>
      </c>
      <c r="P20" s="31">
        <f>VLOOKUP($A20,'Fert Base'!$A:$S,19,FALSE)</f>
        <v>39.285714285714285</v>
      </c>
      <c r="Q20" s="4">
        <v>0</v>
      </c>
      <c r="R20" s="4">
        <v>5</v>
      </c>
      <c r="S20" s="4">
        <v>6</v>
      </c>
      <c r="T20" s="12" t="s">
        <v>155</v>
      </c>
      <c r="U20" s="4" t="s">
        <v>155</v>
      </c>
      <c r="V20" s="30">
        <f t="shared" si="2"/>
        <v>35</v>
      </c>
      <c r="W20" s="31">
        <f>VLOOKUP($A20,'Mech Base'!$A:$Z,24,FALSE)</f>
        <v>47.443411872276791</v>
      </c>
      <c r="X20" s="4">
        <v>1.5</v>
      </c>
      <c r="Y20" s="4">
        <v>6.6666666666666679</v>
      </c>
      <c r="Z20" s="4">
        <v>1.5</v>
      </c>
      <c r="AA20" s="12">
        <v>18</v>
      </c>
      <c r="AB20" s="4">
        <v>40.494073044930055</v>
      </c>
      <c r="AC20" s="12" t="s">
        <v>155</v>
      </c>
      <c r="AD20" s="4" t="s">
        <v>155</v>
      </c>
      <c r="AE20" s="30">
        <f t="shared" si="3"/>
        <v>18</v>
      </c>
      <c r="AF20" s="31">
        <f>100*AVERAGE(IF(VLOOKUP(A20,'Data Gaps'!A:O,15,FALSE)="X",'EBA2017'!AH20/4,AVERAGE(AG20/5,AH20/4)),AVERAGE(AI20/5,AJ20/8),IF(VLOOKUP(A20,'Data Gaps'!A:O,15,FALSE)="X",'EBA2017'!AL20/7,AVERAGE(AK20/7,AL20/7)))</f>
        <v>60.367063492063487</v>
      </c>
      <c r="AG20" s="4">
        <v>0</v>
      </c>
      <c r="AH20" s="4">
        <v>3.9166666666666661</v>
      </c>
      <c r="AI20" s="4">
        <v>5</v>
      </c>
      <c r="AJ20" s="4">
        <v>4</v>
      </c>
      <c r="AK20" s="4">
        <v>4</v>
      </c>
      <c r="AL20" s="4">
        <v>4</v>
      </c>
      <c r="AM20" s="30">
        <f t="shared" si="4"/>
        <v>60</v>
      </c>
      <c r="AN20" s="31">
        <f>VLOOKUP($A20,'Mark Base'!$A:$Z,21,FALSE)</f>
        <v>31.674866611195217</v>
      </c>
      <c r="AO20" s="4">
        <v>7.5</v>
      </c>
      <c r="AP20" s="4">
        <v>2</v>
      </c>
      <c r="AQ20" s="4">
        <v>2</v>
      </c>
      <c r="AR20" s="12">
        <v>3</v>
      </c>
      <c r="AS20" s="12">
        <v>11</v>
      </c>
      <c r="AT20" s="4">
        <v>3.1232686661428306</v>
      </c>
      <c r="AU20" s="30">
        <f t="shared" si="5"/>
        <v>19</v>
      </c>
      <c r="AV20" s="31">
        <f t="shared" si="6"/>
        <v>68.002386594147879</v>
      </c>
      <c r="AW20" s="4">
        <v>5</v>
      </c>
      <c r="AX20" s="4">
        <v>3</v>
      </c>
      <c r="AY20" s="4">
        <v>15.021994839248245</v>
      </c>
      <c r="AZ20" s="4">
        <v>5</v>
      </c>
      <c r="BA20" s="12">
        <v>2</v>
      </c>
      <c r="BB20" s="4">
        <v>3.9187812624125851</v>
      </c>
      <c r="BC20" s="30">
        <f t="shared" si="7"/>
        <v>49</v>
      </c>
      <c r="BD20" s="31">
        <f t="shared" si="8"/>
        <v>25.603448275862068</v>
      </c>
      <c r="BE20" s="4">
        <v>10.499999999999998</v>
      </c>
      <c r="BF20" s="4">
        <v>3</v>
      </c>
      <c r="BG20" s="30">
        <f t="shared" si="9"/>
        <v>22</v>
      </c>
      <c r="BH20" s="31">
        <f t="shared" si="10"/>
        <v>61.111111111111114</v>
      </c>
      <c r="BI20" s="4">
        <v>5.5</v>
      </c>
    </row>
    <row r="21" spans="1:61" x14ac:dyDescent="0.2">
      <c r="A21" s="2" t="s">
        <v>45</v>
      </c>
      <c r="B21" s="3" t="s">
        <v>46</v>
      </c>
      <c r="C21" s="3" t="s">
        <v>38</v>
      </c>
      <c r="D21" s="3" t="s">
        <v>39</v>
      </c>
      <c r="E21" s="3" t="s">
        <v>40</v>
      </c>
      <c r="F21" s="3" t="s">
        <v>162</v>
      </c>
      <c r="G21" s="3" t="s">
        <v>163</v>
      </c>
      <c r="H21" s="30">
        <f t="shared" si="0"/>
        <v>3</v>
      </c>
      <c r="I21" s="31">
        <f>VLOOKUP($A21,'Seed Base'!$A:$S,19,FALSE)</f>
        <v>85.315015939799338</v>
      </c>
      <c r="J21" s="4">
        <v>9</v>
      </c>
      <c r="K21" s="4">
        <v>7</v>
      </c>
      <c r="L21" s="4">
        <v>12</v>
      </c>
      <c r="M21" s="12">
        <v>690</v>
      </c>
      <c r="N21" s="4">
        <v>7.3891268249424407</v>
      </c>
      <c r="O21" s="30">
        <f t="shared" si="1"/>
        <v>3</v>
      </c>
      <c r="P21" s="31">
        <f>VLOOKUP($A21,'Fert Base'!$A:$S,19,FALSE)</f>
        <v>92.228587630403993</v>
      </c>
      <c r="Q21" s="4">
        <v>6.4</v>
      </c>
      <c r="R21" s="4">
        <v>6.5</v>
      </c>
      <c r="S21" s="4">
        <v>6</v>
      </c>
      <c r="T21" s="12">
        <v>31</v>
      </c>
      <c r="U21" s="4">
        <v>0.4263386760504525</v>
      </c>
      <c r="V21" s="30">
        <f t="shared" si="2"/>
        <v>8</v>
      </c>
      <c r="W21" s="31">
        <f>VLOOKUP($A21,'Mech Base'!$A:$Z,24,FALSE)</f>
        <v>81.819755857891451</v>
      </c>
      <c r="X21" s="4">
        <v>2</v>
      </c>
      <c r="Y21" s="4">
        <v>7</v>
      </c>
      <c r="Z21" s="4">
        <v>5</v>
      </c>
      <c r="AA21" s="12" t="s">
        <v>153</v>
      </c>
      <c r="AB21" s="4" t="s">
        <v>153</v>
      </c>
      <c r="AC21" s="12" t="s">
        <v>153</v>
      </c>
      <c r="AD21" s="4">
        <v>0.10595729031992933</v>
      </c>
      <c r="AE21" s="30">
        <f t="shared" si="3"/>
        <v>37</v>
      </c>
      <c r="AF21" s="31">
        <f>100*AVERAGE(IF(VLOOKUP(A21,'Data Gaps'!A:O,15,FALSE)="X",'EBA2017'!AH21/4,AVERAGE(AG21/5,AH21/4)),AVERAGE(AI21/5,AJ21/8),IF(VLOOKUP(A21,'Data Gaps'!A:O,15,FALSE)="X",'EBA2017'!AL21/7,AVERAGE(AK21/7,AL21/7)))</f>
        <v>45.833333333333329</v>
      </c>
      <c r="AG21" s="4" t="s">
        <v>155</v>
      </c>
      <c r="AH21" s="4">
        <v>3.75</v>
      </c>
      <c r="AI21" s="4">
        <v>0</v>
      </c>
      <c r="AJ21" s="4">
        <v>7</v>
      </c>
      <c r="AK21" s="4" t="s">
        <v>155</v>
      </c>
      <c r="AL21" s="4">
        <v>0</v>
      </c>
      <c r="AM21" s="30">
        <f t="shared" si="4"/>
        <v>6</v>
      </c>
      <c r="AN21" s="31">
        <f>VLOOKUP($A21,'Mark Base'!$A:$Z,21,FALSE)</f>
        <v>78.819444444444443</v>
      </c>
      <c r="AO21" s="4">
        <v>6.5</v>
      </c>
      <c r="AP21" s="4">
        <v>7</v>
      </c>
      <c r="AQ21" s="4">
        <v>7</v>
      </c>
      <c r="AR21" s="12">
        <v>0</v>
      </c>
      <c r="AS21" s="12">
        <v>0</v>
      </c>
      <c r="AT21" s="4">
        <v>0</v>
      </c>
      <c r="AU21" s="30">
        <f t="shared" si="5"/>
        <v>3</v>
      </c>
      <c r="AV21" s="31">
        <f t="shared" si="6"/>
        <v>88.888536729665233</v>
      </c>
      <c r="AW21" s="4">
        <v>10.83333333333333</v>
      </c>
      <c r="AX21" s="4">
        <v>30</v>
      </c>
      <c r="AY21" s="4">
        <v>0</v>
      </c>
      <c r="AZ21" s="4">
        <v>9</v>
      </c>
      <c r="BA21" s="12">
        <v>30</v>
      </c>
      <c r="BB21" s="4">
        <v>0</v>
      </c>
      <c r="BC21" s="30">
        <f t="shared" si="7"/>
        <v>24</v>
      </c>
      <c r="BD21" s="31">
        <f t="shared" si="8"/>
        <v>60.90517241379311</v>
      </c>
      <c r="BE21" s="4">
        <v>23</v>
      </c>
      <c r="BF21" s="4">
        <v>8.5</v>
      </c>
      <c r="BG21" s="30">
        <f t="shared" si="9"/>
        <v>6</v>
      </c>
      <c r="BH21" s="31">
        <f t="shared" si="10"/>
        <v>94.444444444444443</v>
      </c>
      <c r="BI21" s="4">
        <v>8.5</v>
      </c>
    </row>
    <row r="22" spans="1:61" x14ac:dyDescent="0.2">
      <c r="A22" s="2" t="s">
        <v>47</v>
      </c>
      <c r="B22" s="3" t="s">
        <v>48</v>
      </c>
      <c r="C22" s="3" t="s">
        <v>49</v>
      </c>
      <c r="D22" s="3" t="s">
        <v>50</v>
      </c>
      <c r="E22" s="3" t="s">
        <v>9</v>
      </c>
      <c r="F22" s="3" t="s">
        <v>159</v>
      </c>
      <c r="G22" s="3" t="s">
        <v>158</v>
      </c>
      <c r="H22" s="30">
        <f t="shared" si="0"/>
        <v>37</v>
      </c>
      <c r="I22" s="31">
        <f>VLOOKUP($A22,'Seed Base'!$A:$S,19,FALSE)</f>
        <v>52.571616924324097</v>
      </c>
      <c r="J22" s="4">
        <v>8</v>
      </c>
      <c r="K22" s="4">
        <v>5</v>
      </c>
      <c r="L22" s="4">
        <v>2</v>
      </c>
      <c r="M22" s="12">
        <v>599</v>
      </c>
      <c r="N22" s="4">
        <v>184.28918503721331</v>
      </c>
      <c r="O22" s="30">
        <f t="shared" si="1"/>
        <v>33</v>
      </c>
      <c r="P22" s="31">
        <f>VLOOKUP($A22,'Fert Base'!$A:$S,19,FALSE)</f>
        <v>56.762763441587957</v>
      </c>
      <c r="Q22" s="4">
        <v>4.4000000000000004</v>
      </c>
      <c r="R22" s="4">
        <v>1.5</v>
      </c>
      <c r="S22" s="4">
        <v>3</v>
      </c>
      <c r="T22" s="12">
        <v>314</v>
      </c>
      <c r="U22" s="4">
        <v>19.772693811284348</v>
      </c>
      <c r="V22" s="30">
        <f t="shared" si="2"/>
        <v>26</v>
      </c>
      <c r="W22" s="31">
        <f>VLOOKUP($A22,'Mech Base'!$A:$Z,24,FALSE)</f>
        <v>55.320533729176901</v>
      </c>
      <c r="X22" s="4">
        <v>4</v>
      </c>
      <c r="Y22" s="4">
        <v>2.3333333333333335</v>
      </c>
      <c r="Z22" s="4">
        <v>2</v>
      </c>
      <c r="AA22" s="12" t="s">
        <v>155</v>
      </c>
      <c r="AB22" s="4" t="s">
        <v>155</v>
      </c>
      <c r="AC22" s="12">
        <v>1</v>
      </c>
      <c r="AD22" s="4">
        <v>1.9196790108043058</v>
      </c>
      <c r="AE22" s="30">
        <f t="shared" si="3"/>
        <v>56</v>
      </c>
      <c r="AF22" s="31">
        <f>100*AVERAGE(IF(VLOOKUP(A22,'Data Gaps'!A:O,15,FALSE)="X",'EBA2017'!AH22/4,AVERAGE(AG22/5,AH22/4)),AVERAGE(AI22/5,AJ22/8),IF(VLOOKUP(A22,'Data Gaps'!A:O,15,FALSE)="X",'EBA2017'!AL22/7,AVERAGE(AK22/7,AL22/7)))</f>
        <v>29.642857142857142</v>
      </c>
      <c r="AG22" s="4">
        <v>0</v>
      </c>
      <c r="AH22" s="4">
        <v>1</v>
      </c>
      <c r="AI22" s="4">
        <v>3</v>
      </c>
      <c r="AJ22" s="4">
        <v>4</v>
      </c>
      <c r="AK22" s="4">
        <v>0</v>
      </c>
      <c r="AL22" s="4">
        <v>3</v>
      </c>
      <c r="AM22" s="30">
        <f t="shared" si="4"/>
        <v>49</v>
      </c>
      <c r="AN22" s="31">
        <f>VLOOKUP($A22,'Mark Base'!$A:$Z,21,FALSE)</f>
        <v>47.340229682468646</v>
      </c>
      <c r="AO22" s="4">
        <v>6.5</v>
      </c>
      <c r="AP22" s="4">
        <v>1.5</v>
      </c>
      <c r="AQ22" s="4">
        <v>5</v>
      </c>
      <c r="AR22" s="12">
        <v>1</v>
      </c>
      <c r="AS22" s="12">
        <v>2</v>
      </c>
      <c r="AT22" s="4">
        <v>4.3192777743096871</v>
      </c>
      <c r="AU22" s="30">
        <f t="shared" si="5"/>
        <v>61</v>
      </c>
      <c r="AV22" s="31">
        <f t="shared" si="6"/>
        <v>13.383838383838384</v>
      </c>
      <c r="AW22" s="4">
        <v>1.0000000000000002</v>
      </c>
      <c r="AX22" s="4" t="s">
        <v>155</v>
      </c>
      <c r="AY22" s="4" t="s">
        <v>155</v>
      </c>
      <c r="AZ22" s="4">
        <v>4</v>
      </c>
      <c r="BA22" s="12" t="s">
        <v>155</v>
      </c>
      <c r="BB22" s="4" t="s">
        <v>155</v>
      </c>
      <c r="BC22" s="30">
        <f t="shared" si="7"/>
        <v>55</v>
      </c>
      <c r="BD22" s="31">
        <f t="shared" si="8"/>
        <v>15.948275862068966</v>
      </c>
      <c r="BE22" s="4">
        <v>2</v>
      </c>
      <c r="BF22" s="4">
        <v>5</v>
      </c>
      <c r="BG22" s="30">
        <f t="shared" si="9"/>
        <v>57</v>
      </c>
      <c r="BH22" s="31">
        <f t="shared" si="10"/>
        <v>33.333333333333329</v>
      </c>
      <c r="BI22" s="4">
        <v>2.9999999999999996</v>
      </c>
    </row>
    <row r="23" spans="1:61" x14ac:dyDescent="0.2">
      <c r="A23" s="2" t="s">
        <v>51</v>
      </c>
      <c r="B23" s="3" t="s">
        <v>52</v>
      </c>
      <c r="C23" s="3" t="s">
        <v>16</v>
      </c>
      <c r="D23" s="3" t="s">
        <v>17</v>
      </c>
      <c r="E23" s="3" t="s">
        <v>18</v>
      </c>
      <c r="F23" s="3" t="s">
        <v>160</v>
      </c>
      <c r="G23" s="3" t="s">
        <v>158</v>
      </c>
      <c r="H23" s="30">
        <f t="shared" si="0"/>
        <v>39</v>
      </c>
      <c r="I23" s="31">
        <f>VLOOKUP($A23,'Seed Base'!$A:$S,19,FALSE)</f>
        <v>51.071298728150182</v>
      </c>
      <c r="J23" s="4">
        <v>6</v>
      </c>
      <c r="K23" s="4">
        <v>4.5</v>
      </c>
      <c r="L23" s="4">
        <v>4</v>
      </c>
      <c r="M23" s="12">
        <v>620</v>
      </c>
      <c r="N23" s="4">
        <v>77.778777683273688</v>
      </c>
      <c r="O23" s="30">
        <f t="shared" si="1"/>
        <v>59</v>
      </c>
      <c r="P23" s="31">
        <f>VLOOKUP($A23,'Fert Base'!$A:$S,19,FALSE)</f>
        <v>19.642857142857146</v>
      </c>
      <c r="Q23" s="4">
        <v>1</v>
      </c>
      <c r="R23" s="4">
        <v>4.5000000000000009</v>
      </c>
      <c r="S23" s="4">
        <v>0</v>
      </c>
      <c r="T23" s="12" t="s">
        <v>155</v>
      </c>
      <c r="U23" s="4" t="s">
        <v>155</v>
      </c>
      <c r="V23" s="30">
        <f t="shared" si="2"/>
        <v>25</v>
      </c>
      <c r="W23" s="31">
        <f>VLOOKUP($A23,'Mech Base'!$A:$Z,24,FALSE)</f>
        <v>55.951131120970807</v>
      </c>
      <c r="X23" s="4">
        <v>3.5</v>
      </c>
      <c r="Y23" s="4">
        <v>4.333333333333333</v>
      </c>
      <c r="Z23" s="4">
        <v>3</v>
      </c>
      <c r="AA23" s="12" t="s">
        <v>154</v>
      </c>
      <c r="AB23" s="4" t="s">
        <v>154</v>
      </c>
      <c r="AC23" s="12">
        <v>2</v>
      </c>
      <c r="AD23" s="4">
        <v>1.8634498819950984</v>
      </c>
      <c r="AE23" s="30">
        <f t="shared" si="3"/>
        <v>27</v>
      </c>
      <c r="AF23" s="31">
        <f>100*AVERAGE(IF(VLOOKUP(A23,'Data Gaps'!A:O,15,FALSE)="X",'EBA2017'!AH23/4,AVERAGE(AG23/5,AH23/4)),AVERAGE(AI23/5,AJ23/8),IF(VLOOKUP(A23,'Data Gaps'!A:O,15,FALSE)="X",'EBA2017'!AL23/7,AVERAGE(AK23/7,AL23/7)))</f>
        <v>52.964285714285722</v>
      </c>
      <c r="AG23" s="4">
        <v>4.55</v>
      </c>
      <c r="AH23" s="4">
        <v>0</v>
      </c>
      <c r="AI23" s="4">
        <v>5</v>
      </c>
      <c r="AJ23" s="4">
        <v>1</v>
      </c>
      <c r="AK23" s="4">
        <v>4</v>
      </c>
      <c r="AL23" s="4">
        <v>4</v>
      </c>
      <c r="AM23" s="30">
        <f t="shared" si="4"/>
        <v>51</v>
      </c>
      <c r="AN23" s="31">
        <f>VLOOKUP($A23,'Mark Base'!$A:$Z,21,FALSE)</f>
        <v>45.686850524241542</v>
      </c>
      <c r="AO23" s="4">
        <v>10.55</v>
      </c>
      <c r="AP23" s="4">
        <v>1</v>
      </c>
      <c r="AQ23" s="4">
        <v>3.5</v>
      </c>
      <c r="AR23" s="12">
        <v>3</v>
      </c>
      <c r="AS23" s="12">
        <v>3</v>
      </c>
      <c r="AT23" s="4">
        <v>2.4670456046413367</v>
      </c>
      <c r="AU23" s="30">
        <f t="shared" si="5"/>
        <v>21</v>
      </c>
      <c r="AV23" s="31">
        <f t="shared" si="6"/>
        <v>66.893206561693447</v>
      </c>
      <c r="AW23" s="4">
        <v>4.0000000000000009</v>
      </c>
      <c r="AX23" s="4">
        <v>1</v>
      </c>
      <c r="AY23" s="4">
        <v>5.5093300858985517</v>
      </c>
      <c r="AZ23" s="4">
        <v>4</v>
      </c>
      <c r="BA23" s="12">
        <v>1</v>
      </c>
      <c r="BB23" s="4">
        <v>5.5093300858985517</v>
      </c>
      <c r="BC23" s="30">
        <f t="shared" si="7"/>
        <v>34</v>
      </c>
      <c r="BD23" s="31">
        <f t="shared" si="8"/>
        <v>46.939655172413794</v>
      </c>
      <c r="BE23" s="4">
        <v>12</v>
      </c>
      <c r="BF23" s="4">
        <v>10.5</v>
      </c>
      <c r="BG23" s="30">
        <f t="shared" si="9"/>
        <v>62</v>
      </c>
      <c r="BH23" s="31">
        <f t="shared" si="10"/>
        <v>11.111111111111111</v>
      </c>
      <c r="BI23" s="4">
        <v>1</v>
      </c>
    </row>
    <row r="24" spans="1:61" x14ac:dyDescent="0.2">
      <c r="A24" s="2" t="s">
        <v>53</v>
      </c>
      <c r="B24" s="3" t="s">
        <v>54</v>
      </c>
      <c r="C24" s="3" t="s">
        <v>7</v>
      </c>
      <c r="D24" s="3" t="s">
        <v>8</v>
      </c>
      <c r="E24" s="3" t="s">
        <v>25</v>
      </c>
      <c r="F24" s="3" t="s">
        <v>162</v>
      </c>
      <c r="G24" s="3" t="s">
        <v>163</v>
      </c>
      <c r="H24" s="30">
        <f t="shared" si="0"/>
        <v>13</v>
      </c>
      <c r="I24" s="31">
        <f>VLOOKUP($A24,'Seed Base'!$A:$S,19,FALSE)</f>
        <v>71.416088580576314</v>
      </c>
      <c r="J24" s="4">
        <v>9</v>
      </c>
      <c r="K24" s="4">
        <v>7</v>
      </c>
      <c r="L24" s="4">
        <v>4</v>
      </c>
      <c r="M24" s="12">
        <v>581</v>
      </c>
      <c r="N24" s="4">
        <v>0</v>
      </c>
      <c r="O24" s="30">
        <f t="shared" si="1"/>
        <v>20</v>
      </c>
      <c r="P24" s="31">
        <f>VLOOKUP($A24,'Fert Base'!$A:$S,19,FALSE)</f>
        <v>68.436608744430259</v>
      </c>
      <c r="Q24" s="4">
        <v>4.4000000000000004</v>
      </c>
      <c r="R24" s="4">
        <v>4.5000000000000009</v>
      </c>
      <c r="S24" s="4">
        <v>6</v>
      </c>
      <c r="T24" s="12">
        <v>730</v>
      </c>
      <c r="U24" s="4">
        <v>16.707331007033982</v>
      </c>
      <c r="V24" s="30">
        <f t="shared" si="2"/>
        <v>42</v>
      </c>
      <c r="W24" s="31">
        <f>VLOOKUP($A24,'Mech Base'!$A:$Z,24,FALSE)</f>
        <v>41.806390363828214</v>
      </c>
      <c r="X24" s="4">
        <v>0.5</v>
      </c>
      <c r="Y24" s="4">
        <v>0</v>
      </c>
      <c r="Z24" s="4">
        <v>5</v>
      </c>
      <c r="AA24" s="12" t="s">
        <v>155</v>
      </c>
      <c r="AB24" s="4" t="s">
        <v>155</v>
      </c>
      <c r="AC24" s="12">
        <v>1</v>
      </c>
      <c r="AD24" s="4">
        <v>0.73989608745436197</v>
      </c>
      <c r="AE24" s="30">
        <f t="shared" si="3"/>
        <v>39</v>
      </c>
      <c r="AF24" s="31">
        <f>100*AVERAGE(IF(VLOOKUP(A24,'Data Gaps'!A:O,15,FALSE)="X",'EBA2017'!AH24/4,AVERAGE(AG24/5,AH24/4)),AVERAGE(AI24/5,AJ24/8),IF(VLOOKUP(A24,'Data Gaps'!A:O,15,FALSE)="X",'EBA2017'!AL24/7,AVERAGE(AK24/7,AL24/7)))</f>
        <v>44.107142857142854</v>
      </c>
      <c r="AG24" s="4">
        <v>0</v>
      </c>
      <c r="AH24" s="4">
        <v>2</v>
      </c>
      <c r="AI24" s="4">
        <v>3.5</v>
      </c>
      <c r="AJ24" s="4">
        <v>7</v>
      </c>
      <c r="AK24" s="4">
        <v>0</v>
      </c>
      <c r="AL24" s="4">
        <v>4</v>
      </c>
      <c r="AM24" s="30">
        <f t="shared" si="4"/>
        <v>19</v>
      </c>
      <c r="AN24" s="31">
        <f>VLOOKUP($A24,'Mark Base'!$A:$Z,21,FALSE)</f>
        <v>67.912202406854718</v>
      </c>
      <c r="AO24" s="4">
        <v>6.5</v>
      </c>
      <c r="AP24" s="4">
        <v>5.5</v>
      </c>
      <c r="AQ24" s="4">
        <v>6.5</v>
      </c>
      <c r="AR24" s="12">
        <v>1</v>
      </c>
      <c r="AS24" s="12">
        <v>3</v>
      </c>
      <c r="AT24" s="4">
        <v>0.29834519655417824</v>
      </c>
      <c r="AU24" s="30">
        <f t="shared" si="5"/>
        <v>37</v>
      </c>
      <c r="AV24" s="31">
        <f t="shared" si="6"/>
        <v>48.49904751434029</v>
      </c>
      <c r="AW24" s="4">
        <v>2.0000000000000004</v>
      </c>
      <c r="AX24" s="4" t="s">
        <v>155</v>
      </c>
      <c r="AY24" s="4" t="s">
        <v>155</v>
      </c>
      <c r="AZ24" s="4">
        <v>7.0000000000000009</v>
      </c>
      <c r="BA24" s="12">
        <v>2.5</v>
      </c>
      <c r="BB24" s="4">
        <v>0.83536655035169904</v>
      </c>
      <c r="BC24" s="30">
        <f t="shared" si="7"/>
        <v>48</v>
      </c>
      <c r="BD24" s="31">
        <f t="shared" si="8"/>
        <v>29.827586206896552</v>
      </c>
      <c r="BE24" s="4">
        <v>11.5</v>
      </c>
      <c r="BF24" s="4">
        <v>4</v>
      </c>
      <c r="BG24" s="30">
        <f t="shared" si="9"/>
        <v>6</v>
      </c>
      <c r="BH24" s="31">
        <f t="shared" si="10"/>
        <v>94.444444444444443</v>
      </c>
      <c r="BI24" s="4">
        <v>8.5</v>
      </c>
    </row>
    <row r="25" spans="1:61" x14ac:dyDescent="0.2">
      <c r="A25" s="2" t="s">
        <v>55</v>
      </c>
      <c r="B25" s="3" t="s">
        <v>56</v>
      </c>
      <c r="C25" s="3" t="s">
        <v>16</v>
      </c>
      <c r="D25" s="3" t="s">
        <v>17</v>
      </c>
      <c r="E25" s="3" t="s">
        <v>9</v>
      </c>
      <c r="F25" s="3" t="s">
        <v>160</v>
      </c>
      <c r="G25" s="3" t="s">
        <v>158</v>
      </c>
      <c r="H25" s="30">
        <f t="shared" si="0"/>
        <v>48</v>
      </c>
      <c r="I25" s="31">
        <f>VLOOKUP($A25,'Seed Base'!$A:$S,19,FALSE)</f>
        <v>46.458333333333336</v>
      </c>
      <c r="J25" s="4">
        <v>4</v>
      </c>
      <c r="K25" s="4">
        <v>6</v>
      </c>
      <c r="L25" s="4">
        <v>8.5</v>
      </c>
      <c r="M25" s="12">
        <v>757</v>
      </c>
      <c r="N25" s="4">
        <v>1091.6197014380564</v>
      </c>
      <c r="O25" s="30">
        <f t="shared" si="1"/>
        <v>34</v>
      </c>
      <c r="P25" s="31">
        <f>VLOOKUP($A25,'Fert Base'!$A:$S,19,FALSE)</f>
        <v>55.440325384058198</v>
      </c>
      <c r="Q25" s="4">
        <v>3.4</v>
      </c>
      <c r="R25" s="4">
        <v>5</v>
      </c>
      <c r="S25" s="4">
        <v>2.5</v>
      </c>
      <c r="T25" s="12">
        <v>231</v>
      </c>
      <c r="U25" s="4">
        <v>377.01310058925463</v>
      </c>
      <c r="V25" s="30">
        <f t="shared" si="2"/>
        <v>38</v>
      </c>
      <c r="W25" s="31">
        <f>VLOOKUP($A25,'Mech Base'!$A:$Z,24,FALSE)</f>
        <v>46.271963219649827</v>
      </c>
      <c r="X25" s="4">
        <v>3.5</v>
      </c>
      <c r="Y25" s="4">
        <v>2</v>
      </c>
      <c r="Z25" s="4">
        <v>5</v>
      </c>
      <c r="AA25" s="12" t="s">
        <v>155</v>
      </c>
      <c r="AB25" s="4" t="s">
        <v>155</v>
      </c>
      <c r="AC25" s="12">
        <v>30</v>
      </c>
      <c r="AD25" s="4">
        <v>10.10758982813015</v>
      </c>
      <c r="AE25" s="30">
        <f t="shared" si="3"/>
        <v>16</v>
      </c>
      <c r="AF25" s="31">
        <f>100*AVERAGE(IF(VLOOKUP(A25,'Data Gaps'!A:O,15,FALSE)="X",'EBA2017'!AH25/4,AVERAGE(AG25/5,AH25/4)),AVERAGE(AI25/5,AJ25/8),IF(VLOOKUP(A25,'Data Gaps'!A:O,15,FALSE)="X",'EBA2017'!AL25/7,AVERAGE(AK25/7,AL25/7)))</f>
        <v>62.428571428571423</v>
      </c>
      <c r="AG25" s="4">
        <v>4.1749999999999998</v>
      </c>
      <c r="AH25" s="4">
        <v>3.5</v>
      </c>
      <c r="AI25" s="4">
        <v>0</v>
      </c>
      <c r="AJ25" s="4">
        <v>6</v>
      </c>
      <c r="AK25" s="4">
        <v>4</v>
      </c>
      <c r="AL25" s="4">
        <v>5</v>
      </c>
      <c r="AM25" s="30">
        <f t="shared" si="4"/>
        <v>54</v>
      </c>
      <c r="AN25" s="31">
        <f>VLOOKUP($A25,'Mark Base'!$A:$Z,21,FALSE)</f>
        <v>40.183340603361636</v>
      </c>
      <c r="AO25" s="4">
        <v>5.9</v>
      </c>
      <c r="AP25" s="4">
        <v>3</v>
      </c>
      <c r="AQ25" s="4">
        <v>2</v>
      </c>
      <c r="AR25" s="12">
        <v>3</v>
      </c>
      <c r="AS25" s="12" t="s">
        <v>153</v>
      </c>
      <c r="AT25" s="4">
        <v>1.0107589828130152</v>
      </c>
      <c r="AU25" s="30">
        <f t="shared" si="5"/>
        <v>59</v>
      </c>
      <c r="AV25" s="31">
        <f t="shared" si="6"/>
        <v>16.161616161616163</v>
      </c>
      <c r="AW25" s="4">
        <v>1.0000000000000002</v>
      </c>
      <c r="AX25" s="4" t="s">
        <v>155</v>
      </c>
      <c r="AY25" s="4" t="s">
        <v>155</v>
      </c>
      <c r="AZ25" s="4">
        <v>5</v>
      </c>
      <c r="BA25" s="12" t="s">
        <v>154</v>
      </c>
      <c r="BB25" s="4" t="s">
        <v>154</v>
      </c>
      <c r="BC25" s="30">
        <f t="shared" si="7"/>
        <v>30</v>
      </c>
      <c r="BD25" s="31">
        <f t="shared" si="8"/>
        <v>54.525862068965516</v>
      </c>
      <c r="BE25" s="4">
        <v>13.5</v>
      </c>
      <c r="BF25" s="4">
        <v>12.5</v>
      </c>
      <c r="BG25" s="30">
        <f t="shared" si="9"/>
        <v>22</v>
      </c>
      <c r="BH25" s="31">
        <f t="shared" si="10"/>
        <v>61.111111111111114</v>
      </c>
      <c r="BI25" s="4">
        <v>5.5</v>
      </c>
    </row>
    <row r="26" spans="1:61" x14ac:dyDescent="0.2">
      <c r="A26" s="2" t="s">
        <v>57</v>
      </c>
      <c r="B26" s="3" t="s">
        <v>58</v>
      </c>
      <c r="C26" s="3" t="s">
        <v>38</v>
      </c>
      <c r="D26" s="3" t="s">
        <v>39</v>
      </c>
      <c r="E26" s="3" t="s">
        <v>40</v>
      </c>
      <c r="F26" s="3" t="s">
        <v>159</v>
      </c>
      <c r="G26" s="3" t="s">
        <v>163</v>
      </c>
      <c r="H26" s="30">
        <f t="shared" si="0"/>
        <v>14</v>
      </c>
      <c r="I26" s="31">
        <f>VLOOKUP($A26,'Seed Base'!$A:$S,19,FALSE)</f>
        <v>70.429825030249248</v>
      </c>
      <c r="J26" s="4">
        <v>8</v>
      </c>
      <c r="K26" s="4">
        <v>5</v>
      </c>
      <c r="L26" s="4">
        <v>9.5</v>
      </c>
      <c r="M26" s="12">
        <v>729</v>
      </c>
      <c r="N26" s="4">
        <v>8.6712580119792406</v>
      </c>
      <c r="O26" s="30">
        <f t="shared" si="1"/>
        <v>8</v>
      </c>
      <c r="P26" s="31">
        <f>VLOOKUP($A26,'Fert Base'!$A:$S,19,FALSE)</f>
        <v>81.572644927332078</v>
      </c>
      <c r="Q26" s="4">
        <v>7</v>
      </c>
      <c r="R26" s="4">
        <v>6.5</v>
      </c>
      <c r="S26" s="4">
        <v>3</v>
      </c>
      <c r="T26" s="12">
        <v>186</v>
      </c>
      <c r="U26" s="4">
        <v>2.4495079129884862</v>
      </c>
      <c r="V26" s="30">
        <f t="shared" si="2"/>
        <v>5</v>
      </c>
      <c r="W26" s="31">
        <f>VLOOKUP($A26,'Mech Base'!$A:$Z,24,FALSE)</f>
        <v>83.387815921142661</v>
      </c>
      <c r="X26" s="4">
        <v>2</v>
      </c>
      <c r="Y26" s="4">
        <v>7</v>
      </c>
      <c r="Z26" s="4">
        <v>5</v>
      </c>
      <c r="AA26" s="12">
        <v>35</v>
      </c>
      <c r="AB26" s="4">
        <v>1.2247539564942431</v>
      </c>
      <c r="AC26" s="12">
        <v>3.5</v>
      </c>
      <c r="AD26" s="4">
        <v>6.123769782471216E-2</v>
      </c>
      <c r="AE26" s="30">
        <f t="shared" si="3"/>
        <v>4</v>
      </c>
      <c r="AF26" s="31">
        <f>100*AVERAGE(IF(VLOOKUP(A26,'Data Gaps'!A:O,15,FALSE)="X",'EBA2017'!AH26/4,AVERAGE(AG26/5,AH26/4)),AVERAGE(AI26/5,AJ26/8),IF(VLOOKUP(A26,'Data Gaps'!A:O,15,FALSE)="X",'EBA2017'!AL26/7,AVERAGE(AK26/7,AL26/7)))</f>
        <v>85.833333333333343</v>
      </c>
      <c r="AG26" s="4" t="s">
        <v>155</v>
      </c>
      <c r="AH26" s="4">
        <v>3.75</v>
      </c>
      <c r="AI26" s="4">
        <v>4.5</v>
      </c>
      <c r="AJ26" s="4">
        <v>3</v>
      </c>
      <c r="AK26" s="4" t="s">
        <v>155</v>
      </c>
      <c r="AL26" s="4">
        <v>7</v>
      </c>
      <c r="AM26" s="30">
        <f t="shared" si="4"/>
        <v>5</v>
      </c>
      <c r="AN26" s="31">
        <f>VLOOKUP($A26,'Mark Base'!$A:$Z,21,FALSE)</f>
        <v>80.648656898656895</v>
      </c>
      <c r="AO26" s="4">
        <v>9.85</v>
      </c>
      <c r="AP26" s="4">
        <v>6</v>
      </c>
      <c r="AQ26" s="4">
        <v>5.5</v>
      </c>
      <c r="AR26" s="12">
        <v>0</v>
      </c>
      <c r="AS26" s="12">
        <v>0</v>
      </c>
      <c r="AT26" s="4">
        <v>0</v>
      </c>
      <c r="AU26" s="30">
        <f t="shared" si="5"/>
        <v>14</v>
      </c>
      <c r="AV26" s="31">
        <f t="shared" si="6"/>
        <v>71.247570258546773</v>
      </c>
      <c r="AW26" s="4">
        <v>8.8333333333333321</v>
      </c>
      <c r="AX26" s="4">
        <v>60</v>
      </c>
      <c r="AY26" s="4">
        <v>3.061884891235608</v>
      </c>
      <c r="AZ26" s="4">
        <v>9</v>
      </c>
      <c r="BA26" s="12">
        <v>60</v>
      </c>
      <c r="BB26" s="4">
        <v>3.8044314415763822</v>
      </c>
      <c r="BC26" s="30">
        <f t="shared" si="7"/>
        <v>12</v>
      </c>
      <c r="BD26" s="31">
        <f t="shared" si="8"/>
        <v>73.663793103448285</v>
      </c>
      <c r="BE26" s="4">
        <v>27.5</v>
      </c>
      <c r="BF26" s="4">
        <v>10.5</v>
      </c>
      <c r="BG26" s="30">
        <f t="shared" si="9"/>
        <v>1</v>
      </c>
      <c r="BH26" s="31">
        <f t="shared" si="10"/>
        <v>100</v>
      </c>
      <c r="BI26" s="4">
        <v>9</v>
      </c>
    </row>
    <row r="27" spans="1:61" x14ac:dyDescent="0.2">
      <c r="A27" s="2" t="s">
        <v>59</v>
      </c>
      <c r="B27" s="3" t="s">
        <v>60</v>
      </c>
      <c r="C27" s="3" t="s">
        <v>21</v>
      </c>
      <c r="D27" s="3" t="s">
        <v>22</v>
      </c>
      <c r="E27" s="3" t="s">
        <v>9</v>
      </c>
      <c r="F27" s="3" t="s">
        <v>159</v>
      </c>
      <c r="G27" s="3" t="s">
        <v>158</v>
      </c>
      <c r="H27" s="30">
        <f t="shared" si="0"/>
        <v>26</v>
      </c>
      <c r="I27" s="31">
        <f>VLOOKUP($A27,'Seed Base'!$A:$S,19,FALSE)</f>
        <v>64.038263180318552</v>
      </c>
      <c r="J27" s="4">
        <v>5</v>
      </c>
      <c r="K27" s="4">
        <v>4.5</v>
      </c>
      <c r="L27" s="4">
        <v>6</v>
      </c>
      <c r="M27" s="12">
        <v>166</v>
      </c>
      <c r="N27" s="4">
        <v>1.8802228412256268</v>
      </c>
      <c r="O27" s="30">
        <f t="shared" si="1"/>
        <v>9</v>
      </c>
      <c r="P27" s="31">
        <f>VLOOKUP($A27,'Fert Base'!$A:$S,19,FALSE)</f>
        <v>80.356370950167218</v>
      </c>
      <c r="Q27" s="4">
        <v>4.8</v>
      </c>
      <c r="R27" s="4">
        <v>7</v>
      </c>
      <c r="S27" s="4">
        <v>3.5</v>
      </c>
      <c r="T27" s="12">
        <v>113</v>
      </c>
      <c r="U27" s="4">
        <v>1.2011094655384913</v>
      </c>
      <c r="V27" s="30">
        <f t="shared" si="2"/>
        <v>57</v>
      </c>
      <c r="W27" s="31">
        <f>VLOOKUP($A27,'Mech Base'!$A:$Z,24,FALSE)</f>
        <v>18.833333333333332</v>
      </c>
      <c r="X27" s="4">
        <v>0</v>
      </c>
      <c r="Y27" s="4">
        <v>0.33333333333333326</v>
      </c>
      <c r="Z27" s="4">
        <v>4.5</v>
      </c>
      <c r="AA27" s="12" t="s">
        <v>155</v>
      </c>
      <c r="AB27" s="4" t="s">
        <v>155</v>
      </c>
      <c r="AC27" s="12" t="s">
        <v>155</v>
      </c>
      <c r="AD27" s="4" t="s">
        <v>155</v>
      </c>
      <c r="AE27" s="30">
        <f t="shared" si="3"/>
        <v>24</v>
      </c>
      <c r="AF27" s="31">
        <f>100*AVERAGE(IF(VLOOKUP(A27,'Data Gaps'!A:O,15,FALSE)="X",'EBA2017'!AH27/4,AVERAGE(AG27/5,AH27/4)),AVERAGE(AI27/5,AJ27/8),IF(VLOOKUP(A27,'Data Gaps'!A:O,15,FALSE)="X",'EBA2017'!AL27/7,AVERAGE(AK27/7,AL27/7)))</f>
        <v>55.892857142857132</v>
      </c>
      <c r="AG27" s="4">
        <v>4.5</v>
      </c>
      <c r="AH27" s="4">
        <v>1</v>
      </c>
      <c r="AI27" s="4">
        <v>4.5</v>
      </c>
      <c r="AJ27" s="4">
        <v>7</v>
      </c>
      <c r="AK27" s="4">
        <v>0</v>
      </c>
      <c r="AL27" s="4">
        <v>3</v>
      </c>
      <c r="AM27" s="30">
        <f t="shared" si="4"/>
        <v>14</v>
      </c>
      <c r="AN27" s="31">
        <f>VLOOKUP($A27,'Mark Base'!$A:$Z,21,FALSE)</f>
        <v>72.149127109271021</v>
      </c>
      <c r="AO27" s="4">
        <v>7</v>
      </c>
      <c r="AP27" s="4">
        <v>6</v>
      </c>
      <c r="AQ27" s="4">
        <v>6.5</v>
      </c>
      <c r="AR27" s="12">
        <v>1</v>
      </c>
      <c r="AS27" s="12">
        <v>1</v>
      </c>
      <c r="AT27" s="4">
        <v>0.17409470752089137</v>
      </c>
      <c r="AU27" s="30">
        <f t="shared" si="5"/>
        <v>58</v>
      </c>
      <c r="AV27" s="31">
        <f t="shared" si="6"/>
        <v>18.308080808080806</v>
      </c>
      <c r="AW27" s="4">
        <v>3.1666666666666661</v>
      </c>
      <c r="AX27" s="4" t="s">
        <v>155</v>
      </c>
      <c r="AY27" s="4" t="s">
        <v>155</v>
      </c>
      <c r="AZ27" s="4">
        <v>4</v>
      </c>
      <c r="BA27" s="12" t="s">
        <v>155</v>
      </c>
      <c r="BB27" s="4" t="s">
        <v>155</v>
      </c>
      <c r="BC27" s="30">
        <f t="shared" si="7"/>
        <v>58</v>
      </c>
      <c r="BD27" s="31">
        <f t="shared" si="8"/>
        <v>10.344827586206897</v>
      </c>
      <c r="BE27" s="4">
        <v>6</v>
      </c>
      <c r="BF27" s="4">
        <v>0</v>
      </c>
      <c r="BG27" s="30">
        <f t="shared" si="9"/>
        <v>21</v>
      </c>
      <c r="BH27" s="31">
        <f t="shared" si="10"/>
        <v>63.888888888888886</v>
      </c>
      <c r="BI27" s="4">
        <v>5.75</v>
      </c>
    </row>
    <row r="28" spans="1:61" x14ac:dyDescent="0.2">
      <c r="A28" s="2" t="s">
        <v>61</v>
      </c>
      <c r="B28" s="3" t="s">
        <v>62</v>
      </c>
      <c r="C28" s="3" t="s">
        <v>21</v>
      </c>
      <c r="D28" s="3" t="s">
        <v>22</v>
      </c>
      <c r="E28" s="3" t="s">
        <v>18</v>
      </c>
      <c r="F28" s="3" t="s">
        <v>159</v>
      </c>
      <c r="G28" s="3" t="s">
        <v>158</v>
      </c>
      <c r="H28" s="30">
        <f t="shared" si="0"/>
        <v>61</v>
      </c>
      <c r="I28" s="31">
        <f>VLOOKUP($A28,'Seed Base'!$A:$S,19,FALSE)</f>
        <v>10</v>
      </c>
      <c r="J28" s="4">
        <v>4</v>
      </c>
      <c r="K28" s="4">
        <v>0</v>
      </c>
      <c r="L28" s="4">
        <v>0</v>
      </c>
      <c r="M28" s="12" t="s">
        <v>154</v>
      </c>
      <c r="N28" s="4" t="s">
        <v>154</v>
      </c>
      <c r="O28" s="30">
        <f t="shared" si="1"/>
        <v>58</v>
      </c>
      <c r="P28" s="31">
        <f>VLOOKUP($A28,'Fert Base'!$A:$S,19,FALSE)</f>
        <v>21.428571428571427</v>
      </c>
      <c r="Q28" s="4">
        <v>0</v>
      </c>
      <c r="R28" s="4">
        <v>0</v>
      </c>
      <c r="S28" s="4">
        <v>6</v>
      </c>
      <c r="T28" s="12" t="s">
        <v>155</v>
      </c>
      <c r="U28" s="4" t="s">
        <v>155</v>
      </c>
      <c r="V28" s="30">
        <f t="shared" si="2"/>
        <v>43</v>
      </c>
      <c r="W28" s="31">
        <f>VLOOKUP($A28,'Mech Base'!$A:$Z,24,FALSE)</f>
        <v>41.794871794871788</v>
      </c>
      <c r="X28" s="4">
        <v>2.5</v>
      </c>
      <c r="Y28" s="4">
        <v>0.33333333333333326</v>
      </c>
      <c r="Z28" s="4">
        <v>5</v>
      </c>
      <c r="AA28" s="12" t="s">
        <v>155</v>
      </c>
      <c r="AB28" s="4" t="s">
        <v>155</v>
      </c>
      <c r="AC28" s="12">
        <v>5</v>
      </c>
      <c r="AD28" s="4">
        <v>40.849287281432119</v>
      </c>
      <c r="AE28" s="30">
        <f t="shared" si="3"/>
        <v>54</v>
      </c>
      <c r="AF28" s="31">
        <f>100*AVERAGE(IF(VLOOKUP(A28,'Data Gaps'!A:O,15,FALSE)="X",'EBA2017'!AH28/4,AVERAGE(AG28/5,AH28/4)),AVERAGE(AI28/5,AJ28/8),IF(VLOOKUP(A28,'Data Gaps'!A:O,15,FALSE)="X",'EBA2017'!AL28/7,AVERAGE(AK28/7,AL28/7)))</f>
        <v>32.654761904761912</v>
      </c>
      <c r="AG28" s="4">
        <v>3.7250000000000001</v>
      </c>
      <c r="AH28" s="4">
        <v>1</v>
      </c>
      <c r="AI28" s="4">
        <v>0</v>
      </c>
      <c r="AJ28" s="4">
        <v>2</v>
      </c>
      <c r="AK28" s="4">
        <v>0</v>
      </c>
      <c r="AL28" s="4">
        <v>5</v>
      </c>
      <c r="AM28" s="30">
        <f t="shared" si="4"/>
        <v>57</v>
      </c>
      <c r="AN28" s="31">
        <f>VLOOKUP($A28,'Mark Base'!$A:$Z,21,FALSE)</f>
        <v>35.583256088508783</v>
      </c>
      <c r="AO28" s="4">
        <v>4.5</v>
      </c>
      <c r="AP28" s="4">
        <v>0</v>
      </c>
      <c r="AQ28" s="4" t="s">
        <v>153</v>
      </c>
      <c r="AR28" s="12">
        <v>1</v>
      </c>
      <c r="AS28" s="12" t="s">
        <v>153</v>
      </c>
      <c r="AT28" s="4">
        <v>1.6092143474503562</v>
      </c>
      <c r="AU28" s="30">
        <f t="shared" si="5"/>
        <v>62</v>
      </c>
      <c r="AV28" s="31">
        <f t="shared" si="6"/>
        <v>7.8282828282828287</v>
      </c>
      <c r="AW28" s="4">
        <v>1.0000000000000002</v>
      </c>
      <c r="AX28" s="4" t="s">
        <v>155</v>
      </c>
      <c r="AY28" s="4" t="s">
        <v>155</v>
      </c>
      <c r="AZ28" s="4">
        <v>2</v>
      </c>
      <c r="BA28" s="12" t="s">
        <v>155</v>
      </c>
      <c r="BB28" s="4" t="s">
        <v>155</v>
      </c>
      <c r="BC28" s="30">
        <f t="shared" si="7"/>
        <v>57</v>
      </c>
      <c r="BD28" s="31">
        <f t="shared" si="8"/>
        <v>12.198275862068964</v>
      </c>
      <c r="BE28" s="4">
        <v>2</v>
      </c>
      <c r="BF28" s="4">
        <v>3.5</v>
      </c>
      <c r="BG28" s="30">
        <f t="shared" si="9"/>
        <v>43</v>
      </c>
      <c r="BH28" s="31">
        <f t="shared" si="10"/>
        <v>44.444444444444443</v>
      </c>
      <c r="BI28" s="4">
        <v>4</v>
      </c>
    </row>
    <row r="29" spans="1:61" x14ac:dyDescent="0.2">
      <c r="A29" s="2" t="s">
        <v>63</v>
      </c>
      <c r="B29" s="3" t="s">
        <v>146</v>
      </c>
      <c r="C29" s="3" t="s">
        <v>12</v>
      </c>
      <c r="D29" s="3" t="s">
        <v>13</v>
      </c>
      <c r="E29" s="3" t="s">
        <v>9</v>
      </c>
      <c r="F29" s="3" t="s">
        <v>162</v>
      </c>
      <c r="G29" s="3" t="s">
        <v>158</v>
      </c>
      <c r="H29" s="30">
        <f t="shared" si="0"/>
        <v>21</v>
      </c>
      <c r="I29" s="31">
        <f>VLOOKUP($A29,'Seed Base'!$A:$S,19,FALSE)</f>
        <v>66.600301648326109</v>
      </c>
      <c r="J29" s="4">
        <v>8</v>
      </c>
      <c r="K29" s="4">
        <v>6</v>
      </c>
      <c r="L29" s="4">
        <v>4.5</v>
      </c>
      <c r="M29" s="12">
        <v>397</v>
      </c>
      <c r="N29" s="4">
        <v>98.739280394767107</v>
      </c>
      <c r="O29" s="30">
        <f t="shared" si="1"/>
        <v>17</v>
      </c>
      <c r="P29" s="31">
        <f>VLOOKUP($A29,'Fert Base'!$A:$S,19,FALSE)</f>
        <v>69.592627960388455</v>
      </c>
      <c r="Q29" s="4">
        <v>5</v>
      </c>
      <c r="R29" s="4">
        <v>3.5</v>
      </c>
      <c r="S29" s="4">
        <v>7</v>
      </c>
      <c r="T29" s="12">
        <v>804</v>
      </c>
      <c r="U29" s="4">
        <v>17.108291157509154</v>
      </c>
      <c r="V29" s="30">
        <f t="shared" si="2"/>
        <v>21</v>
      </c>
      <c r="W29" s="31">
        <f>VLOOKUP($A29,'Mech Base'!$A:$Z,24,FALSE)</f>
        <v>59.558342385613436</v>
      </c>
      <c r="X29" s="4">
        <v>3.5</v>
      </c>
      <c r="Y29" s="4">
        <v>3.8333333333333339</v>
      </c>
      <c r="Z29" s="4">
        <v>4.5</v>
      </c>
      <c r="AA29" s="12">
        <v>270</v>
      </c>
      <c r="AB29" s="4">
        <v>604.35478441387988</v>
      </c>
      <c r="AC29" s="12">
        <v>7</v>
      </c>
      <c r="AD29" s="4">
        <v>0.1955233275143903</v>
      </c>
      <c r="AE29" s="30">
        <f t="shared" si="3"/>
        <v>15</v>
      </c>
      <c r="AF29" s="31">
        <f>100*AVERAGE(IF(VLOOKUP(A29,'Data Gaps'!A:O,15,FALSE)="X",'EBA2017'!AH29/4,AVERAGE(AG29/5,AH29/4)),AVERAGE(AI29/5,AJ29/8),IF(VLOOKUP(A29,'Data Gaps'!A:O,15,FALSE)="X",'EBA2017'!AL29/7,AVERAGE(AK29/7,AL29/7)))</f>
        <v>66.101190476190482</v>
      </c>
      <c r="AG29" s="4">
        <v>4.875</v>
      </c>
      <c r="AH29" s="4">
        <v>3.75</v>
      </c>
      <c r="AI29" s="4">
        <v>5</v>
      </c>
      <c r="AJ29" s="4">
        <v>5</v>
      </c>
      <c r="AK29" s="4">
        <v>0</v>
      </c>
      <c r="AL29" s="4">
        <v>3</v>
      </c>
      <c r="AM29" s="30">
        <f t="shared" si="4"/>
        <v>43</v>
      </c>
      <c r="AN29" s="31">
        <f>VLOOKUP($A29,'Mark Base'!$A:$Z,21,FALSE)</f>
        <v>52.528751641166714</v>
      </c>
      <c r="AO29" s="4">
        <v>6.15</v>
      </c>
      <c r="AP29" s="4">
        <v>6</v>
      </c>
      <c r="AQ29" s="4">
        <v>4.5</v>
      </c>
      <c r="AR29" s="12">
        <v>3</v>
      </c>
      <c r="AS29" s="12">
        <v>8</v>
      </c>
      <c r="AT29" s="4">
        <v>2.0343876355659791</v>
      </c>
      <c r="AU29" s="30">
        <f t="shared" si="5"/>
        <v>46</v>
      </c>
      <c r="AV29" s="31">
        <f t="shared" si="6"/>
        <v>41.217731269354232</v>
      </c>
      <c r="AW29" s="4">
        <v>9.3333333333333321</v>
      </c>
      <c r="AX29" s="4">
        <v>8</v>
      </c>
      <c r="AY29" s="4">
        <v>24.000488452391412</v>
      </c>
      <c r="AZ29" s="4">
        <v>2</v>
      </c>
      <c r="BA29" s="12" t="s">
        <v>155</v>
      </c>
      <c r="BB29" s="4" t="s">
        <v>155</v>
      </c>
      <c r="BC29" s="30">
        <f t="shared" si="7"/>
        <v>53</v>
      </c>
      <c r="BD29" s="31">
        <f t="shared" si="8"/>
        <v>17.629310344827591</v>
      </c>
      <c r="BE29" s="4">
        <v>9.5000000000000018</v>
      </c>
      <c r="BF29" s="4">
        <v>0.5</v>
      </c>
      <c r="BG29" s="30">
        <f t="shared" si="9"/>
        <v>18</v>
      </c>
      <c r="BH29" s="31">
        <f t="shared" si="10"/>
        <v>66.666666666666657</v>
      </c>
      <c r="BI29" s="4">
        <v>5.9999999999999991</v>
      </c>
    </row>
    <row r="30" spans="1:61" x14ac:dyDescent="0.2">
      <c r="A30" s="2" t="s">
        <v>64</v>
      </c>
      <c r="B30" s="3" t="s">
        <v>65</v>
      </c>
      <c r="C30" s="3" t="s">
        <v>38</v>
      </c>
      <c r="D30" s="3" t="s">
        <v>39</v>
      </c>
      <c r="E30" s="3" t="s">
        <v>40</v>
      </c>
      <c r="F30" s="3" t="s">
        <v>159</v>
      </c>
      <c r="G30" s="3" t="s">
        <v>163</v>
      </c>
      <c r="H30" s="30">
        <f t="shared" si="0"/>
        <v>4</v>
      </c>
      <c r="I30" s="31">
        <f>VLOOKUP($A30,'Seed Base'!$A:$S,19,FALSE)</f>
        <v>81.554197436568217</v>
      </c>
      <c r="J30" s="4">
        <v>10</v>
      </c>
      <c r="K30" s="4">
        <v>5.5</v>
      </c>
      <c r="L30" s="4">
        <v>10.5</v>
      </c>
      <c r="M30" s="12">
        <v>624</v>
      </c>
      <c r="N30" s="4">
        <v>5.5809979481242911</v>
      </c>
      <c r="O30" s="30">
        <f t="shared" si="1"/>
        <v>6</v>
      </c>
      <c r="P30" s="31">
        <f>VLOOKUP($A30,'Fert Base'!$A:$S,19,FALSE)</f>
        <v>85.087267091000484</v>
      </c>
      <c r="Q30" s="4">
        <v>6</v>
      </c>
      <c r="R30" s="4">
        <v>6.5</v>
      </c>
      <c r="S30" s="4">
        <v>6</v>
      </c>
      <c r="T30" s="12">
        <v>450</v>
      </c>
      <c r="U30" s="4">
        <v>11.161995896248582</v>
      </c>
      <c r="V30" s="30">
        <f t="shared" si="2"/>
        <v>11</v>
      </c>
      <c r="W30" s="31">
        <f>VLOOKUP($A30,'Mech Base'!$A:$Z,24,FALSE)</f>
        <v>71.412297002989362</v>
      </c>
      <c r="X30" s="4">
        <v>2</v>
      </c>
      <c r="Y30" s="4">
        <v>7</v>
      </c>
      <c r="Z30" s="4">
        <v>5</v>
      </c>
      <c r="AA30" s="12">
        <v>170</v>
      </c>
      <c r="AB30" s="4" t="s">
        <v>153</v>
      </c>
      <c r="AC30" s="12">
        <v>6</v>
      </c>
      <c r="AD30" s="4">
        <v>0.37206652987495276</v>
      </c>
      <c r="AE30" s="30">
        <f t="shared" si="3"/>
        <v>6</v>
      </c>
      <c r="AF30" s="31">
        <f>100*AVERAGE(IF(VLOOKUP(A30,'Data Gaps'!A:O,15,FALSE)="X",'EBA2017'!AH30/4,AVERAGE(AG30/5,AH30/4)),AVERAGE(AI30/5,AJ30/8),IF(VLOOKUP(A30,'Data Gaps'!A:O,15,FALSE)="X",'EBA2017'!AL30/7,AVERAGE(AK30/7,AL30/7)))</f>
        <v>81.071428571428555</v>
      </c>
      <c r="AG30" s="4" t="s">
        <v>155</v>
      </c>
      <c r="AH30" s="4">
        <v>3.75</v>
      </c>
      <c r="AI30" s="4">
        <v>4.5</v>
      </c>
      <c r="AJ30" s="4">
        <v>3</v>
      </c>
      <c r="AK30" s="4" t="s">
        <v>155</v>
      </c>
      <c r="AL30" s="4">
        <v>6</v>
      </c>
      <c r="AM30" s="30">
        <f t="shared" si="4"/>
        <v>4</v>
      </c>
      <c r="AN30" s="31">
        <f>VLOOKUP($A30,'Mark Base'!$A:$Z,21,FALSE)</f>
        <v>81.853632478632491</v>
      </c>
      <c r="AO30" s="4">
        <v>8.8000000000000007</v>
      </c>
      <c r="AP30" s="4">
        <v>7</v>
      </c>
      <c r="AQ30" s="4">
        <v>6.5</v>
      </c>
      <c r="AR30" s="12">
        <v>0</v>
      </c>
      <c r="AS30" s="12">
        <v>0</v>
      </c>
      <c r="AT30" s="4">
        <v>0</v>
      </c>
      <c r="AU30" s="30">
        <f t="shared" si="5"/>
        <v>4</v>
      </c>
      <c r="AV30" s="31">
        <f t="shared" si="6"/>
        <v>86.313944254907994</v>
      </c>
      <c r="AW30" s="4">
        <v>9.8333333333333321</v>
      </c>
      <c r="AX30" s="4">
        <v>30</v>
      </c>
      <c r="AY30" s="4">
        <v>0.68460241496991303</v>
      </c>
      <c r="AZ30" s="4">
        <v>9</v>
      </c>
      <c r="BA30" s="12">
        <v>30</v>
      </c>
      <c r="BB30" s="4">
        <v>0.15701207560723007</v>
      </c>
      <c r="BC30" s="30">
        <f t="shared" si="7"/>
        <v>10</v>
      </c>
      <c r="BD30" s="31">
        <f t="shared" si="8"/>
        <v>74.09482758620689</v>
      </c>
      <c r="BE30" s="4">
        <v>20.5</v>
      </c>
      <c r="BF30" s="4">
        <v>15.5</v>
      </c>
      <c r="BG30" s="30">
        <f t="shared" si="9"/>
        <v>6</v>
      </c>
      <c r="BH30" s="31">
        <f t="shared" si="10"/>
        <v>94.444444444444443</v>
      </c>
      <c r="BI30" s="4">
        <v>8.5</v>
      </c>
    </row>
    <row r="31" spans="1:61" x14ac:dyDescent="0.2">
      <c r="A31" s="2" t="s">
        <v>66</v>
      </c>
      <c r="B31" s="3" t="s">
        <v>67</v>
      </c>
      <c r="C31" s="3" t="s">
        <v>49</v>
      </c>
      <c r="D31" s="3" t="s">
        <v>50</v>
      </c>
      <c r="E31" s="3" t="s">
        <v>25</v>
      </c>
      <c r="F31" s="3" t="s">
        <v>161</v>
      </c>
      <c r="G31" s="3" t="s">
        <v>158</v>
      </c>
      <c r="H31" s="30">
        <f t="shared" si="0"/>
        <v>22</v>
      </c>
      <c r="I31" s="31">
        <f>VLOOKUP($A31,'Seed Base'!$A:$S,19,FALSE)</f>
        <v>66.343386142583512</v>
      </c>
      <c r="J31" s="4">
        <v>10</v>
      </c>
      <c r="K31" s="4">
        <v>6</v>
      </c>
      <c r="L31" s="4">
        <v>3</v>
      </c>
      <c r="M31" s="12">
        <v>514</v>
      </c>
      <c r="N31" s="4">
        <v>57.767487237509265</v>
      </c>
      <c r="O31" s="30">
        <f t="shared" si="1"/>
        <v>16</v>
      </c>
      <c r="P31" s="31">
        <f>VLOOKUP($A31,'Fert Base'!$A:$S,19,FALSE)</f>
        <v>70.607932764137814</v>
      </c>
      <c r="Q31" s="4">
        <v>4.4000000000000004</v>
      </c>
      <c r="R31" s="4">
        <v>3.5</v>
      </c>
      <c r="S31" s="4">
        <v>5</v>
      </c>
      <c r="T31" s="12">
        <v>45</v>
      </c>
      <c r="U31" s="4">
        <v>0.86651230856263894</v>
      </c>
      <c r="V31" s="30">
        <f t="shared" si="2"/>
        <v>33</v>
      </c>
      <c r="W31" s="31">
        <f>VLOOKUP($A31,'Mech Base'!$A:$Z,24,FALSE)</f>
        <v>51.453093116674012</v>
      </c>
      <c r="X31" s="4">
        <v>4</v>
      </c>
      <c r="Y31" s="4">
        <v>1.1666666666666665</v>
      </c>
      <c r="Z31" s="4">
        <v>4.5</v>
      </c>
      <c r="AA31" s="12" t="s">
        <v>155</v>
      </c>
      <c r="AB31" s="4" t="s">
        <v>155</v>
      </c>
      <c r="AC31" s="12">
        <v>1</v>
      </c>
      <c r="AD31" s="4">
        <v>20.218620533128242</v>
      </c>
      <c r="AE31" s="30">
        <f t="shared" si="3"/>
        <v>62</v>
      </c>
      <c r="AF31" s="31">
        <f>100*AVERAGE(IF(VLOOKUP(A31,'Data Gaps'!A:O,15,FALSE)="X",'EBA2017'!AH31/4,AVERAGE(AG31/5,AH31/4)),AVERAGE(AI31/5,AJ31/8),IF(VLOOKUP(A31,'Data Gaps'!A:O,15,FALSE)="X",'EBA2017'!AL31/7,AVERAGE(AK31/7,AL31/7)))</f>
        <v>4.1666666666666661</v>
      </c>
      <c r="AG31" s="4">
        <v>0</v>
      </c>
      <c r="AH31" s="4">
        <v>1</v>
      </c>
      <c r="AI31" s="4">
        <v>0</v>
      </c>
      <c r="AJ31" s="4">
        <v>0</v>
      </c>
      <c r="AK31" s="4">
        <v>0</v>
      </c>
      <c r="AL31" s="4">
        <v>0</v>
      </c>
      <c r="AM31" s="30">
        <f t="shared" si="4"/>
        <v>25</v>
      </c>
      <c r="AN31" s="31">
        <f>VLOOKUP($A31,'Mark Base'!$A:$Z,21,FALSE)</f>
        <v>63.931409810000027</v>
      </c>
      <c r="AO31" s="4">
        <v>5.85</v>
      </c>
      <c r="AP31" s="4">
        <v>4.5</v>
      </c>
      <c r="AQ31" s="4">
        <v>6</v>
      </c>
      <c r="AR31" s="12">
        <v>1</v>
      </c>
      <c r="AS31" s="12">
        <v>1</v>
      </c>
      <c r="AT31" s="4">
        <v>0.12997684628439585</v>
      </c>
      <c r="AU31" s="30">
        <f t="shared" si="5"/>
        <v>22</v>
      </c>
      <c r="AV31" s="31">
        <f t="shared" si="6"/>
        <v>66.829009592922944</v>
      </c>
      <c r="AW31" s="4">
        <v>4.5000000000000009</v>
      </c>
      <c r="AX31" s="4">
        <v>4</v>
      </c>
      <c r="AY31" s="4">
        <v>15.452802836033728</v>
      </c>
      <c r="AZ31" s="4">
        <v>5</v>
      </c>
      <c r="BA31" s="12">
        <v>4</v>
      </c>
      <c r="BB31" s="4">
        <v>0.47008547008547008</v>
      </c>
      <c r="BC31" s="30">
        <f t="shared" si="7"/>
        <v>41</v>
      </c>
      <c r="BD31" s="31">
        <f t="shared" si="8"/>
        <v>37.327586206896548</v>
      </c>
      <c r="BE31" s="4">
        <v>11.5</v>
      </c>
      <c r="BF31" s="4">
        <v>7</v>
      </c>
      <c r="BG31" s="30">
        <f t="shared" si="9"/>
        <v>22</v>
      </c>
      <c r="BH31" s="31">
        <f t="shared" si="10"/>
        <v>61.111111111111114</v>
      </c>
      <c r="BI31" s="4">
        <v>5.5</v>
      </c>
    </row>
    <row r="32" spans="1:61" x14ac:dyDescent="0.2">
      <c r="A32" s="2" t="s">
        <v>68</v>
      </c>
      <c r="B32" s="3" t="s">
        <v>69</v>
      </c>
      <c r="C32" s="3" t="s">
        <v>7</v>
      </c>
      <c r="D32" s="3" t="s">
        <v>8</v>
      </c>
      <c r="E32" s="3" t="s">
        <v>25</v>
      </c>
      <c r="F32" s="3" t="s">
        <v>162</v>
      </c>
      <c r="G32" s="3" t="s">
        <v>163</v>
      </c>
      <c r="H32" s="30">
        <f t="shared" si="0"/>
        <v>35</v>
      </c>
      <c r="I32" s="31">
        <f>VLOOKUP($A32,'Seed Base'!$A:$S,19,FALSE)</f>
        <v>53.645833333333336</v>
      </c>
      <c r="J32" s="4">
        <v>10</v>
      </c>
      <c r="K32" s="4">
        <v>6.5</v>
      </c>
      <c r="L32" s="4">
        <v>4</v>
      </c>
      <c r="M32" s="12" t="s">
        <v>154</v>
      </c>
      <c r="N32" s="4" t="s">
        <v>154</v>
      </c>
      <c r="O32" s="30">
        <f t="shared" si="1"/>
        <v>14</v>
      </c>
      <c r="P32" s="31">
        <f>VLOOKUP($A32,'Fert Base'!$A:$S,19,FALSE)</f>
        <v>73.140602068702293</v>
      </c>
      <c r="Q32" s="4">
        <v>2.8999999999999995</v>
      </c>
      <c r="R32" s="4">
        <v>5</v>
      </c>
      <c r="S32" s="4">
        <v>6.5</v>
      </c>
      <c r="T32" s="12">
        <v>246</v>
      </c>
      <c r="U32" s="4">
        <v>11.699475447072128</v>
      </c>
      <c r="V32" s="30">
        <f t="shared" si="2"/>
        <v>9</v>
      </c>
      <c r="W32" s="31">
        <f>VLOOKUP($A32,'Mech Base'!$A:$Z,24,FALSE)</f>
        <v>81.440919890200391</v>
      </c>
      <c r="X32" s="4">
        <v>2.5</v>
      </c>
      <c r="Y32" s="4">
        <v>6.1666666666666661</v>
      </c>
      <c r="Z32" s="4">
        <v>5</v>
      </c>
      <c r="AA32" s="12">
        <v>15</v>
      </c>
      <c r="AB32" s="4">
        <v>6.868576583408295</v>
      </c>
      <c r="AC32" s="12">
        <v>10</v>
      </c>
      <c r="AD32" s="4">
        <v>2.4280418222348318E-2</v>
      </c>
      <c r="AE32" s="30">
        <f t="shared" si="3"/>
        <v>50</v>
      </c>
      <c r="AF32" s="31">
        <f>100*AVERAGE(IF(VLOOKUP(A32,'Data Gaps'!A:O,15,FALSE)="X",'EBA2017'!AH32/4,AVERAGE(AG32/5,AH32/4)),AVERAGE(AI32/5,AJ32/8),IF(VLOOKUP(A32,'Data Gaps'!A:O,15,FALSE)="X",'EBA2017'!AL32/7,AVERAGE(AK32/7,AL32/7)))</f>
        <v>36.726190476190474</v>
      </c>
      <c r="AG32" s="4">
        <v>0</v>
      </c>
      <c r="AH32" s="4">
        <v>1</v>
      </c>
      <c r="AI32" s="4">
        <v>4.5</v>
      </c>
      <c r="AJ32" s="4">
        <v>5</v>
      </c>
      <c r="AK32" s="4">
        <v>0</v>
      </c>
      <c r="AL32" s="4">
        <v>3</v>
      </c>
      <c r="AM32" s="30">
        <f t="shared" si="4"/>
        <v>16</v>
      </c>
      <c r="AN32" s="31">
        <f>VLOOKUP($A32,'Mark Base'!$A:$Z,21,FALSE)</f>
        <v>70.835394546171514</v>
      </c>
      <c r="AO32" s="4">
        <v>10.5</v>
      </c>
      <c r="AP32" s="4">
        <v>5.5</v>
      </c>
      <c r="AQ32" s="4">
        <v>7</v>
      </c>
      <c r="AR32" s="12">
        <v>3</v>
      </c>
      <c r="AS32" s="12">
        <v>5</v>
      </c>
      <c r="AT32" s="4">
        <v>0.59756616275652152</v>
      </c>
      <c r="AU32" s="30">
        <f t="shared" si="5"/>
        <v>55</v>
      </c>
      <c r="AV32" s="31">
        <f t="shared" si="6"/>
        <v>19.444444444444443</v>
      </c>
      <c r="AW32" s="4">
        <v>3.6666666666666661</v>
      </c>
      <c r="AX32" s="4" t="s">
        <v>155</v>
      </c>
      <c r="AY32" s="4" t="s">
        <v>155</v>
      </c>
      <c r="AZ32" s="4">
        <v>4</v>
      </c>
      <c r="BA32" s="12" t="s">
        <v>155</v>
      </c>
      <c r="BB32" s="4" t="s">
        <v>155</v>
      </c>
      <c r="BC32" s="30">
        <f t="shared" si="7"/>
        <v>18</v>
      </c>
      <c r="BD32" s="31">
        <f t="shared" si="8"/>
        <v>65.732758620689651</v>
      </c>
      <c r="BE32" s="4">
        <v>20</v>
      </c>
      <c r="BF32" s="4">
        <v>12.5</v>
      </c>
      <c r="BG32" s="30">
        <f t="shared" si="9"/>
        <v>22</v>
      </c>
      <c r="BH32" s="31">
        <f t="shared" si="10"/>
        <v>61.111111111111114</v>
      </c>
      <c r="BI32" s="4">
        <v>5.5</v>
      </c>
    </row>
    <row r="33" spans="1:61" x14ac:dyDescent="0.2">
      <c r="A33" s="2" t="s">
        <v>70</v>
      </c>
      <c r="B33" s="3" t="s">
        <v>71</v>
      </c>
      <c r="C33" s="3" t="s">
        <v>16</v>
      </c>
      <c r="D33" s="3" t="s">
        <v>17</v>
      </c>
      <c r="E33" s="3" t="s">
        <v>9</v>
      </c>
      <c r="F33" s="3" t="s">
        <v>160</v>
      </c>
      <c r="G33" s="3" t="s">
        <v>158</v>
      </c>
      <c r="H33" s="30">
        <f t="shared" si="0"/>
        <v>7</v>
      </c>
      <c r="I33" s="31">
        <f>VLOOKUP($A33,'Seed Base'!$A:$S,19,FALSE)</f>
        <v>79.240572933420211</v>
      </c>
      <c r="J33" s="4">
        <v>10</v>
      </c>
      <c r="K33" s="4">
        <v>7</v>
      </c>
      <c r="L33" s="4">
        <v>6</v>
      </c>
      <c r="M33" s="12">
        <v>322</v>
      </c>
      <c r="N33" s="4">
        <v>123.167870074373</v>
      </c>
      <c r="O33" s="30">
        <f t="shared" si="1"/>
        <v>43</v>
      </c>
      <c r="P33" s="31">
        <f>VLOOKUP($A33,'Fert Base'!$A:$S,19,FALSE)</f>
        <v>41.071428571428569</v>
      </c>
      <c r="Q33" s="4">
        <v>1.5</v>
      </c>
      <c r="R33" s="4">
        <v>4</v>
      </c>
      <c r="S33" s="4">
        <v>6</v>
      </c>
      <c r="T33" s="12" t="s">
        <v>155</v>
      </c>
      <c r="U33" s="4" t="s">
        <v>155</v>
      </c>
      <c r="V33" s="30">
        <f t="shared" si="2"/>
        <v>29</v>
      </c>
      <c r="W33" s="31">
        <f>VLOOKUP($A33,'Mech Base'!$A:$Z,24,FALSE)</f>
        <v>53.813188857999172</v>
      </c>
      <c r="X33" s="4">
        <v>2.5</v>
      </c>
      <c r="Y33" s="4">
        <v>2.6666666666666661</v>
      </c>
      <c r="Z33" s="4">
        <v>5</v>
      </c>
      <c r="AA33" s="12" t="s">
        <v>155</v>
      </c>
      <c r="AB33" s="4" t="s">
        <v>155</v>
      </c>
      <c r="AC33" s="12">
        <v>7</v>
      </c>
      <c r="AD33" s="4">
        <v>2.0416007554752129</v>
      </c>
      <c r="AE33" s="30">
        <f t="shared" si="3"/>
        <v>10</v>
      </c>
      <c r="AF33" s="31">
        <f>100*AVERAGE(IF(VLOOKUP(A33,'Data Gaps'!A:O,15,FALSE)="X",'EBA2017'!AH33/4,AVERAGE(AG33/5,AH33/4)),AVERAGE(AI33/5,AJ33/8),IF(VLOOKUP(A33,'Data Gaps'!A:O,15,FALSE)="X",'EBA2017'!AL33/7,AVERAGE(AK33/7,AL33/7)))</f>
        <v>74.333333333333329</v>
      </c>
      <c r="AG33" s="4">
        <v>4.1749999999999998</v>
      </c>
      <c r="AH33" s="4">
        <v>4</v>
      </c>
      <c r="AI33" s="4">
        <v>0</v>
      </c>
      <c r="AJ33" s="4">
        <v>5</v>
      </c>
      <c r="AK33" s="4">
        <v>7</v>
      </c>
      <c r="AL33" s="4">
        <v>7</v>
      </c>
      <c r="AM33" s="30">
        <f t="shared" si="4"/>
        <v>59</v>
      </c>
      <c r="AN33" s="31">
        <f>VLOOKUP($A33,'Mark Base'!$A:$Z,21,FALSE)</f>
        <v>32.9819832944833</v>
      </c>
      <c r="AO33" s="4">
        <v>6.9</v>
      </c>
      <c r="AP33" s="4">
        <v>1.5</v>
      </c>
      <c r="AQ33" s="4">
        <v>3.5</v>
      </c>
      <c r="AR33" s="12">
        <v>4</v>
      </c>
      <c r="AS33" s="12">
        <v>4</v>
      </c>
      <c r="AT33" s="4">
        <v>5.5985395488351362</v>
      </c>
      <c r="AU33" s="30">
        <f t="shared" si="5"/>
        <v>16</v>
      </c>
      <c r="AV33" s="31">
        <f t="shared" si="6"/>
        <v>68.688481862808956</v>
      </c>
      <c r="AW33" s="4">
        <v>3.5</v>
      </c>
      <c r="AX33" s="4">
        <v>1</v>
      </c>
      <c r="AY33" s="4">
        <v>2.2394158195340546</v>
      </c>
      <c r="AZ33" s="4">
        <v>5.9999999999999991</v>
      </c>
      <c r="BA33" s="12">
        <v>10.25</v>
      </c>
      <c r="BB33" s="4">
        <v>14.925373134328357</v>
      </c>
      <c r="BC33" s="30">
        <f t="shared" si="7"/>
        <v>4</v>
      </c>
      <c r="BD33" s="31">
        <f t="shared" si="8"/>
        <v>85.043103448275872</v>
      </c>
      <c r="BE33" s="4">
        <v>22.500000000000004</v>
      </c>
      <c r="BF33" s="4">
        <v>18.5</v>
      </c>
      <c r="BG33" s="30">
        <f t="shared" si="9"/>
        <v>12</v>
      </c>
      <c r="BH33" s="31">
        <f t="shared" si="10"/>
        <v>77.777777777777786</v>
      </c>
      <c r="BI33" s="4">
        <v>7.0000000000000009</v>
      </c>
    </row>
    <row r="34" spans="1:61" x14ac:dyDescent="0.2">
      <c r="A34" s="2" t="s">
        <v>72</v>
      </c>
      <c r="B34" s="3" t="s">
        <v>73</v>
      </c>
      <c r="C34" s="3" t="s">
        <v>38</v>
      </c>
      <c r="D34" s="3" t="s">
        <v>39</v>
      </c>
      <c r="E34" s="3" t="s">
        <v>40</v>
      </c>
      <c r="F34" s="3" t="s">
        <v>161</v>
      </c>
      <c r="G34" s="3" t="s">
        <v>163</v>
      </c>
      <c r="H34" s="30">
        <f t="shared" si="0"/>
        <v>8</v>
      </c>
      <c r="I34" s="31">
        <f>VLOOKUP($A34,'Seed Base'!$A:$S,19,FALSE)</f>
        <v>77.463715302509144</v>
      </c>
      <c r="J34" s="4">
        <v>9</v>
      </c>
      <c r="K34" s="4">
        <v>5</v>
      </c>
      <c r="L34" s="4">
        <v>5.25</v>
      </c>
      <c r="M34" s="12">
        <v>298</v>
      </c>
      <c r="N34" s="4">
        <v>1.9985471545960749</v>
      </c>
      <c r="O34" s="30">
        <f t="shared" si="1"/>
        <v>13</v>
      </c>
      <c r="P34" s="31">
        <f>VLOOKUP($A34,'Fert Base'!$A:$S,19,FALSE)</f>
        <v>74.049193527088491</v>
      </c>
      <c r="Q34" s="4">
        <v>4.5000000000000009</v>
      </c>
      <c r="R34" s="4">
        <v>4</v>
      </c>
      <c r="S34" s="4">
        <v>7</v>
      </c>
      <c r="T34" s="12">
        <v>459</v>
      </c>
      <c r="U34" s="4">
        <v>24.998008907811752</v>
      </c>
      <c r="V34" s="30">
        <f t="shared" si="2"/>
        <v>19</v>
      </c>
      <c r="W34" s="31">
        <f>VLOOKUP($A34,'Mech Base'!$A:$Z,24,FALSE)</f>
        <v>59.875400668495729</v>
      </c>
      <c r="X34" s="4">
        <v>1</v>
      </c>
      <c r="Y34" s="4">
        <v>7</v>
      </c>
      <c r="Z34" s="4">
        <v>5</v>
      </c>
      <c r="AA34" s="12">
        <v>45</v>
      </c>
      <c r="AB34" s="4">
        <v>7.9715513528791666</v>
      </c>
      <c r="AC34" s="12" t="s">
        <v>155</v>
      </c>
      <c r="AD34" s="4" t="s">
        <v>155</v>
      </c>
      <c r="AE34" s="30">
        <f t="shared" si="3"/>
        <v>12</v>
      </c>
      <c r="AF34" s="31">
        <f>100*AVERAGE(IF(VLOOKUP(A34,'Data Gaps'!A:O,15,FALSE)="X",'EBA2017'!AH34/4,AVERAGE(AG34/5,AH34/4)),AVERAGE(AI34/5,AJ34/8),IF(VLOOKUP(A34,'Data Gaps'!A:O,15,FALSE)="X",'EBA2017'!AL34/7,AVERAGE(AK34/7,AL34/7)))</f>
        <v>67.876984126984127</v>
      </c>
      <c r="AG34" s="4" t="s">
        <v>155</v>
      </c>
      <c r="AH34" s="4">
        <v>2.1666666666666665</v>
      </c>
      <c r="AI34" s="4">
        <v>3.25</v>
      </c>
      <c r="AJ34" s="4">
        <v>5</v>
      </c>
      <c r="AK34" s="4" t="s">
        <v>155</v>
      </c>
      <c r="AL34" s="4">
        <v>6</v>
      </c>
      <c r="AM34" s="30">
        <f t="shared" si="4"/>
        <v>10</v>
      </c>
      <c r="AN34" s="31">
        <f>VLOOKUP($A34,'Mark Base'!$A:$Z,21,FALSE)</f>
        <v>75.395906177156178</v>
      </c>
      <c r="AO34" s="4">
        <v>7.9</v>
      </c>
      <c r="AP34" s="4">
        <v>5.75</v>
      </c>
      <c r="AQ34" s="4">
        <v>7.5</v>
      </c>
      <c r="AR34" s="12">
        <v>1</v>
      </c>
      <c r="AS34" s="12">
        <v>2</v>
      </c>
      <c r="AT34" s="4">
        <v>0</v>
      </c>
      <c r="AU34" s="30">
        <f t="shared" si="5"/>
        <v>49</v>
      </c>
      <c r="AV34" s="31">
        <f t="shared" si="6"/>
        <v>35.609677889440952</v>
      </c>
      <c r="AW34" s="4">
        <v>5.9999999999999991</v>
      </c>
      <c r="AX34" s="4">
        <v>20</v>
      </c>
      <c r="AY34" s="4">
        <v>5.1742321154590938E-2</v>
      </c>
      <c r="AZ34" s="4">
        <v>0</v>
      </c>
      <c r="BA34" s="12" t="s">
        <v>155</v>
      </c>
      <c r="BB34" s="4" t="s">
        <v>155</v>
      </c>
      <c r="BC34" s="30">
        <f t="shared" si="7"/>
        <v>9</v>
      </c>
      <c r="BD34" s="31">
        <f t="shared" si="8"/>
        <v>74.827586206896555</v>
      </c>
      <c r="BE34" s="4">
        <v>26</v>
      </c>
      <c r="BF34" s="4">
        <v>12</v>
      </c>
      <c r="BG34" s="30">
        <f t="shared" si="9"/>
        <v>11</v>
      </c>
      <c r="BH34" s="31">
        <f t="shared" si="10"/>
        <v>83.333333333333343</v>
      </c>
      <c r="BI34" s="4">
        <v>7.5000000000000009</v>
      </c>
    </row>
    <row r="35" spans="1:61" x14ac:dyDescent="0.2">
      <c r="A35" s="2" t="s">
        <v>74</v>
      </c>
      <c r="B35" s="3" t="s">
        <v>75</v>
      </c>
      <c r="C35" s="3" t="s">
        <v>7</v>
      </c>
      <c r="D35" s="3" t="s">
        <v>8</v>
      </c>
      <c r="E35" s="3" t="s">
        <v>9</v>
      </c>
      <c r="F35" s="3" t="s">
        <v>161</v>
      </c>
      <c r="G35" s="3" t="s">
        <v>163</v>
      </c>
      <c r="H35" s="30">
        <f t="shared" si="0"/>
        <v>53</v>
      </c>
      <c r="I35" s="31">
        <f>VLOOKUP($A35,'Seed Base'!$A:$S,19,FALSE)</f>
        <v>36.44495481388109</v>
      </c>
      <c r="J35" s="4">
        <v>7</v>
      </c>
      <c r="K35" s="4">
        <v>4</v>
      </c>
      <c r="L35" s="4">
        <v>2</v>
      </c>
      <c r="M35" s="12">
        <v>970</v>
      </c>
      <c r="N35" s="4">
        <v>219.41934868282291</v>
      </c>
      <c r="O35" s="30">
        <f t="shared" si="1"/>
        <v>18</v>
      </c>
      <c r="P35" s="31">
        <f>VLOOKUP($A35,'Fert Base'!$A:$S,19,FALSE)</f>
        <v>69.383171779113013</v>
      </c>
      <c r="Q35" s="4">
        <v>3.8</v>
      </c>
      <c r="R35" s="4">
        <v>4</v>
      </c>
      <c r="S35" s="4">
        <v>6</v>
      </c>
      <c r="T35" s="12">
        <v>357</v>
      </c>
      <c r="U35" s="4">
        <v>21.38899810960158</v>
      </c>
      <c r="V35" s="30">
        <f t="shared" si="2"/>
        <v>14</v>
      </c>
      <c r="W35" s="31">
        <f>VLOOKUP($A35,'Mech Base'!$A:$Z,24,FALSE)</f>
        <v>64.976194685435701</v>
      </c>
      <c r="X35" s="4">
        <v>3</v>
      </c>
      <c r="Y35" s="4">
        <v>5.5</v>
      </c>
      <c r="Z35" s="4">
        <v>5</v>
      </c>
      <c r="AA35" s="12" t="s">
        <v>154</v>
      </c>
      <c r="AB35" s="4" t="s">
        <v>154</v>
      </c>
      <c r="AC35" s="12">
        <v>2</v>
      </c>
      <c r="AD35" s="4">
        <v>1.4627956578854862</v>
      </c>
      <c r="AE35" s="30">
        <f t="shared" si="3"/>
        <v>8</v>
      </c>
      <c r="AF35" s="31">
        <f>100*AVERAGE(IF(VLOOKUP(A35,'Data Gaps'!A:O,15,FALSE)="X",'EBA2017'!AH35/4,AVERAGE(AG35/5,AH35/4)),AVERAGE(AI35/5,AJ35/8),IF(VLOOKUP(A35,'Data Gaps'!A:O,15,FALSE)="X",'EBA2017'!AL35/7,AVERAGE(AK35/7,AL35/7)))</f>
        <v>78.607142857142847</v>
      </c>
      <c r="AG35" s="4">
        <v>4.0999999999999996</v>
      </c>
      <c r="AH35" s="4">
        <v>3.5</v>
      </c>
      <c r="AI35" s="4">
        <v>3.5</v>
      </c>
      <c r="AJ35" s="4">
        <v>6</v>
      </c>
      <c r="AK35" s="4">
        <v>5</v>
      </c>
      <c r="AL35" s="4">
        <v>6</v>
      </c>
      <c r="AM35" s="30">
        <f t="shared" si="4"/>
        <v>13</v>
      </c>
      <c r="AN35" s="31">
        <f>VLOOKUP($A35,'Mark Base'!$A:$Z,21,FALSE)</f>
        <v>72.596327904891183</v>
      </c>
      <c r="AO35" s="4">
        <v>8.5</v>
      </c>
      <c r="AP35" s="4">
        <v>5.5</v>
      </c>
      <c r="AQ35" s="4">
        <v>6.5</v>
      </c>
      <c r="AR35" s="12">
        <v>1</v>
      </c>
      <c r="AS35" s="12">
        <v>1</v>
      </c>
      <c r="AT35" s="4">
        <v>0.72386443130463274</v>
      </c>
      <c r="AU35" s="30">
        <f t="shared" si="5"/>
        <v>56</v>
      </c>
      <c r="AV35" s="31">
        <f t="shared" si="6"/>
        <v>18.434343434343436</v>
      </c>
      <c r="AW35" s="4">
        <v>2.0000000000000004</v>
      </c>
      <c r="AX35" s="4" t="s">
        <v>155</v>
      </c>
      <c r="AY35" s="4" t="s">
        <v>155</v>
      </c>
      <c r="AZ35" s="4">
        <v>5</v>
      </c>
      <c r="BA35" s="12" t="s">
        <v>155</v>
      </c>
      <c r="BB35" s="4" t="s">
        <v>155</v>
      </c>
      <c r="BC35" s="30">
        <f t="shared" si="7"/>
        <v>36</v>
      </c>
      <c r="BD35" s="31">
        <f t="shared" si="8"/>
        <v>46.206896551724128</v>
      </c>
      <c r="BE35" s="4">
        <v>20.999999999999996</v>
      </c>
      <c r="BF35" s="4">
        <v>4</v>
      </c>
      <c r="BG35" s="30">
        <f t="shared" si="9"/>
        <v>43</v>
      </c>
      <c r="BH35" s="31">
        <f t="shared" si="10"/>
        <v>44.444444444444443</v>
      </c>
      <c r="BI35" s="4">
        <v>4</v>
      </c>
    </row>
    <row r="36" spans="1:61" x14ac:dyDescent="0.2">
      <c r="A36" s="2" t="s">
        <v>76</v>
      </c>
      <c r="B36" s="3" t="s">
        <v>77</v>
      </c>
      <c r="C36" s="3" t="s">
        <v>32</v>
      </c>
      <c r="D36" s="3" t="s">
        <v>33</v>
      </c>
      <c r="E36" s="3" t="s">
        <v>9</v>
      </c>
      <c r="F36" s="3" t="s">
        <v>160</v>
      </c>
      <c r="G36" s="3" t="s">
        <v>158</v>
      </c>
      <c r="H36" s="30">
        <f t="shared" si="0"/>
        <v>59</v>
      </c>
      <c r="I36" s="31">
        <f>VLOOKUP($A36,'Seed Base'!$A:$S,19,FALSE)</f>
        <v>20.9375</v>
      </c>
      <c r="J36" s="4">
        <v>4</v>
      </c>
      <c r="K36" s="4">
        <v>3.5</v>
      </c>
      <c r="L36" s="4">
        <v>0</v>
      </c>
      <c r="M36" s="12" t="s">
        <v>154</v>
      </c>
      <c r="N36" s="4" t="s">
        <v>154</v>
      </c>
      <c r="O36" s="30">
        <f t="shared" si="1"/>
        <v>26</v>
      </c>
      <c r="P36" s="31">
        <f>VLOOKUP($A36,'Fert Base'!$A:$S,19,FALSE)</f>
        <v>65.700576669111868</v>
      </c>
      <c r="Q36" s="4">
        <v>3.4</v>
      </c>
      <c r="R36" s="4">
        <v>5</v>
      </c>
      <c r="S36" s="4">
        <v>3</v>
      </c>
      <c r="T36" s="12" t="s">
        <v>153</v>
      </c>
      <c r="U36" s="4">
        <v>0.4637894772542791</v>
      </c>
      <c r="V36" s="30">
        <f t="shared" si="2"/>
        <v>59</v>
      </c>
      <c r="W36" s="31">
        <f>VLOOKUP($A36,'Mech Base'!$A:$Z,24,FALSE)</f>
        <v>14.833333333333334</v>
      </c>
      <c r="X36" s="4">
        <v>1</v>
      </c>
      <c r="Y36" s="4">
        <v>0.33333333333333326</v>
      </c>
      <c r="Z36" s="4">
        <v>2.5</v>
      </c>
      <c r="AA36" s="12" t="s">
        <v>155</v>
      </c>
      <c r="AB36" s="4" t="s">
        <v>155</v>
      </c>
      <c r="AC36" s="12" t="s">
        <v>154</v>
      </c>
      <c r="AD36" s="4" t="s">
        <v>154</v>
      </c>
      <c r="AE36" s="30">
        <f t="shared" si="3"/>
        <v>47</v>
      </c>
      <c r="AF36" s="31">
        <f>100*AVERAGE(IF(VLOOKUP(A36,'Data Gaps'!A:O,15,FALSE)="X",'EBA2017'!AH36/4,AVERAGE(AG36/5,AH36/4)),AVERAGE(AI36/5,AJ36/8),IF(VLOOKUP(A36,'Data Gaps'!A:O,15,FALSE)="X",'EBA2017'!AL36/7,AVERAGE(AK36/7,AL36/7)))</f>
        <v>41.071428571428577</v>
      </c>
      <c r="AG36" s="4">
        <v>0</v>
      </c>
      <c r="AH36" s="4">
        <v>1</v>
      </c>
      <c r="AI36" s="4">
        <v>0</v>
      </c>
      <c r="AJ36" s="4">
        <v>4</v>
      </c>
      <c r="AK36" s="4">
        <v>6</v>
      </c>
      <c r="AL36" s="4">
        <v>6</v>
      </c>
      <c r="AM36" s="30">
        <f t="shared" si="4"/>
        <v>35</v>
      </c>
      <c r="AN36" s="31">
        <f>VLOOKUP($A36,'Mark Base'!$A:$Z,21,FALSE)</f>
        <v>55.165689984518728</v>
      </c>
      <c r="AO36" s="4">
        <v>7</v>
      </c>
      <c r="AP36" s="4">
        <v>4.5</v>
      </c>
      <c r="AQ36" s="4">
        <v>6</v>
      </c>
      <c r="AR36" s="12">
        <v>2</v>
      </c>
      <c r="AS36" s="12">
        <v>3</v>
      </c>
      <c r="AT36" s="4">
        <v>4.7665737052130615</v>
      </c>
      <c r="AU36" s="30">
        <f t="shared" si="5"/>
        <v>26</v>
      </c>
      <c r="AV36" s="31">
        <f t="shared" si="6"/>
        <v>64.376132173878915</v>
      </c>
      <c r="AW36" s="4">
        <v>6.5</v>
      </c>
      <c r="AX36" s="4">
        <v>37</v>
      </c>
      <c r="AY36" s="4">
        <v>6.0649393179405733</v>
      </c>
      <c r="AZ36" s="4">
        <v>5</v>
      </c>
      <c r="BA36" s="12">
        <v>30</v>
      </c>
      <c r="BB36" s="4">
        <v>0.28540890907955635</v>
      </c>
      <c r="BC36" s="30">
        <f t="shared" si="7"/>
        <v>40</v>
      </c>
      <c r="BD36" s="31">
        <f t="shared" si="8"/>
        <v>40.948275862068968</v>
      </c>
      <c r="BE36" s="4">
        <v>16.5</v>
      </c>
      <c r="BF36" s="4">
        <v>5</v>
      </c>
      <c r="BG36" s="30">
        <f t="shared" si="9"/>
        <v>59</v>
      </c>
      <c r="BH36" s="31">
        <f t="shared" si="10"/>
        <v>27.777777777777779</v>
      </c>
      <c r="BI36" s="4">
        <v>2.5</v>
      </c>
    </row>
    <row r="37" spans="1:61" x14ac:dyDescent="0.2">
      <c r="A37" s="2" t="s">
        <v>78</v>
      </c>
      <c r="B37" s="3" t="s">
        <v>79</v>
      </c>
      <c r="C37" s="3" t="s">
        <v>16</v>
      </c>
      <c r="D37" s="3" t="s">
        <v>17</v>
      </c>
      <c r="E37" s="3" t="s">
        <v>18</v>
      </c>
      <c r="F37" s="3" t="s">
        <v>160</v>
      </c>
      <c r="G37" s="3" t="s">
        <v>163</v>
      </c>
      <c r="H37" s="30">
        <f t="shared" si="0"/>
        <v>62</v>
      </c>
      <c r="I37" s="31">
        <f>VLOOKUP($A37,'Seed Base'!$A:$S,19,FALSE)</f>
        <v>7.5</v>
      </c>
      <c r="J37" s="4">
        <v>3</v>
      </c>
      <c r="K37" s="4">
        <v>0</v>
      </c>
      <c r="L37" s="4">
        <v>0</v>
      </c>
      <c r="M37" s="12" t="s">
        <v>154</v>
      </c>
      <c r="N37" s="4" t="s">
        <v>154</v>
      </c>
      <c r="O37" s="30">
        <f t="shared" si="1"/>
        <v>62</v>
      </c>
      <c r="P37" s="31">
        <f>VLOOKUP($A37,'Fert Base'!$A:$S,19,FALSE)</f>
        <v>8.9285714285714288</v>
      </c>
      <c r="Q37" s="4">
        <v>0</v>
      </c>
      <c r="R37" s="4">
        <v>0</v>
      </c>
      <c r="S37" s="4">
        <v>2.5</v>
      </c>
      <c r="T37" s="12" t="s">
        <v>155</v>
      </c>
      <c r="U37" s="4" t="s">
        <v>155</v>
      </c>
      <c r="V37" s="30">
        <f t="shared" si="2"/>
        <v>60</v>
      </c>
      <c r="W37" s="31">
        <f>VLOOKUP($A37,'Mech Base'!$A:$Z,24,FALSE)</f>
        <v>13.294871794871794</v>
      </c>
      <c r="X37" s="4">
        <v>1</v>
      </c>
      <c r="Y37" s="4">
        <v>0.33333333333333326</v>
      </c>
      <c r="Z37" s="4">
        <v>0</v>
      </c>
      <c r="AA37" s="12" t="s">
        <v>155</v>
      </c>
      <c r="AB37" s="4" t="s">
        <v>155</v>
      </c>
      <c r="AC37" s="12">
        <v>5</v>
      </c>
      <c r="AD37" s="4">
        <v>92.10526315789474</v>
      </c>
      <c r="AE37" s="30">
        <f t="shared" si="3"/>
        <v>35</v>
      </c>
      <c r="AF37" s="31">
        <f>100*AVERAGE(IF(VLOOKUP(A37,'Data Gaps'!A:O,15,FALSE)="X",'EBA2017'!AH37/4,AVERAGE(AG37/5,AH37/4)),AVERAGE(AI37/5,AJ37/8),IF(VLOOKUP(A37,'Data Gaps'!A:O,15,FALSE)="X",'EBA2017'!AL37/7,AVERAGE(AK37/7,AL37/7)))</f>
        <v>46.13095238095238</v>
      </c>
      <c r="AG37" s="4">
        <v>0</v>
      </c>
      <c r="AH37" s="4">
        <v>4</v>
      </c>
      <c r="AI37" s="4">
        <v>0</v>
      </c>
      <c r="AJ37" s="4">
        <v>5</v>
      </c>
      <c r="AK37" s="4">
        <v>4</v>
      </c>
      <c r="AL37" s="4">
        <v>4</v>
      </c>
      <c r="AM37" s="30">
        <f t="shared" si="4"/>
        <v>62</v>
      </c>
      <c r="AN37" s="31">
        <f>VLOOKUP($A37,'Mark Base'!$A:$Z,21,FALSE)</f>
        <v>20.485625485625487</v>
      </c>
      <c r="AO37" s="4">
        <v>5.4</v>
      </c>
      <c r="AP37" s="4">
        <v>0</v>
      </c>
      <c r="AQ37" s="4">
        <v>2</v>
      </c>
      <c r="AR37" s="12">
        <v>4</v>
      </c>
      <c r="AS37" s="12">
        <v>7</v>
      </c>
      <c r="AT37" s="4" t="s">
        <v>153</v>
      </c>
      <c r="AU37" s="30">
        <f t="shared" si="5"/>
        <v>59</v>
      </c>
      <c r="AV37" s="31">
        <f t="shared" si="6"/>
        <v>16.161616161616163</v>
      </c>
      <c r="AW37" s="4">
        <v>1.0000000000000002</v>
      </c>
      <c r="AX37" s="4" t="s">
        <v>155</v>
      </c>
      <c r="AY37" s="4" t="s">
        <v>155</v>
      </c>
      <c r="AZ37" s="4">
        <v>5</v>
      </c>
      <c r="BA37" s="12" t="s">
        <v>154</v>
      </c>
      <c r="BB37" s="4" t="s">
        <v>154</v>
      </c>
      <c r="BC37" s="30">
        <f t="shared" si="7"/>
        <v>61</v>
      </c>
      <c r="BD37" s="31">
        <f t="shared" si="8"/>
        <v>4.3103448275862073</v>
      </c>
      <c r="BE37" s="4">
        <v>2.5</v>
      </c>
      <c r="BF37" s="4">
        <v>0</v>
      </c>
      <c r="BG37" s="30">
        <f t="shared" si="9"/>
        <v>31</v>
      </c>
      <c r="BH37" s="31">
        <f t="shared" si="10"/>
        <v>55.555555555555557</v>
      </c>
      <c r="BI37" s="4">
        <v>5</v>
      </c>
    </row>
    <row r="38" spans="1:61" x14ac:dyDescent="0.2">
      <c r="A38" s="2" t="s">
        <v>80</v>
      </c>
      <c r="B38" s="3" t="s">
        <v>81</v>
      </c>
      <c r="C38" s="3" t="s">
        <v>16</v>
      </c>
      <c r="D38" s="3" t="s">
        <v>17</v>
      </c>
      <c r="E38" s="3" t="s">
        <v>18</v>
      </c>
      <c r="F38" s="3" t="s">
        <v>160</v>
      </c>
      <c r="G38" s="3" t="s">
        <v>158</v>
      </c>
      <c r="H38" s="30">
        <f t="shared" si="0"/>
        <v>50</v>
      </c>
      <c r="I38" s="31">
        <f>VLOOKUP($A38,'Seed Base'!$A:$S,19,FALSE)</f>
        <v>45.297721898872311</v>
      </c>
      <c r="J38" s="4">
        <v>5</v>
      </c>
      <c r="K38" s="4">
        <v>5.5</v>
      </c>
      <c r="L38" s="4">
        <v>6</v>
      </c>
      <c r="M38" s="12">
        <v>579</v>
      </c>
      <c r="N38" s="4">
        <v>2038.1309297703353</v>
      </c>
      <c r="O38" s="30">
        <f t="shared" si="1"/>
        <v>44</v>
      </c>
      <c r="P38" s="31">
        <f>VLOOKUP($A38,'Fert Base'!$A:$S,19,FALSE)</f>
        <v>39.829192546583855</v>
      </c>
      <c r="Q38" s="4">
        <v>3.5</v>
      </c>
      <c r="R38" s="4">
        <v>4.5000000000000009</v>
      </c>
      <c r="S38" s="4">
        <v>3</v>
      </c>
      <c r="T38" s="12">
        <v>913</v>
      </c>
      <c r="U38" s="4">
        <v>3030.4803540895941</v>
      </c>
      <c r="V38" s="30">
        <f t="shared" si="2"/>
        <v>23</v>
      </c>
      <c r="W38" s="31">
        <f>VLOOKUP($A38,'Mech Base'!$A:$Z,24,FALSE)</f>
        <v>56.667555385975923</v>
      </c>
      <c r="X38" s="4">
        <v>4</v>
      </c>
      <c r="Y38" s="4">
        <v>4.9999999999999991</v>
      </c>
      <c r="Z38" s="4">
        <v>3</v>
      </c>
      <c r="AA38" s="12">
        <v>240</v>
      </c>
      <c r="AB38" s="4">
        <v>428.57142857142856</v>
      </c>
      <c r="AC38" s="12">
        <v>15</v>
      </c>
      <c r="AD38" s="4">
        <v>8.2626929585283868</v>
      </c>
      <c r="AE38" s="30">
        <f t="shared" si="3"/>
        <v>20</v>
      </c>
      <c r="AF38" s="31">
        <f>100*AVERAGE(IF(VLOOKUP(A38,'Data Gaps'!A:O,15,FALSE)="X",'EBA2017'!AH38/4,AVERAGE(AG38/5,AH38/4)),AVERAGE(AI38/5,AJ38/8),IF(VLOOKUP(A38,'Data Gaps'!A:O,15,FALSE)="X",'EBA2017'!AL38/7,AVERAGE(AK38/7,AL38/7)))</f>
        <v>58.267857142857146</v>
      </c>
      <c r="AG38" s="4">
        <v>2.5249999999999999</v>
      </c>
      <c r="AH38" s="4">
        <v>3.75</v>
      </c>
      <c r="AI38" s="4">
        <v>0</v>
      </c>
      <c r="AJ38" s="4">
        <v>5</v>
      </c>
      <c r="AK38" s="4">
        <v>5</v>
      </c>
      <c r="AL38" s="4">
        <v>5</v>
      </c>
      <c r="AM38" s="30">
        <f t="shared" si="4"/>
        <v>33</v>
      </c>
      <c r="AN38" s="31">
        <f>VLOOKUP($A38,'Mark Base'!$A:$Z,21,FALSE)</f>
        <v>56.862490818212287</v>
      </c>
      <c r="AO38" s="4">
        <v>8.9500000000000011</v>
      </c>
      <c r="AP38" s="4">
        <v>3</v>
      </c>
      <c r="AQ38" s="4">
        <v>4.5</v>
      </c>
      <c r="AR38" s="12">
        <v>1</v>
      </c>
      <c r="AS38" s="12">
        <v>1</v>
      </c>
      <c r="AT38" s="4">
        <v>2.7542309861761289</v>
      </c>
      <c r="AU38" s="30">
        <f t="shared" si="5"/>
        <v>39</v>
      </c>
      <c r="AV38" s="31">
        <f t="shared" si="6"/>
        <v>46.443954009227824</v>
      </c>
      <c r="AW38" s="4">
        <v>5.5</v>
      </c>
      <c r="AX38" s="4">
        <v>1</v>
      </c>
      <c r="AY38" s="4">
        <v>5.5084619723522579</v>
      </c>
      <c r="AZ38" s="4">
        <v>4</v>
      </c>
      <c r="BA38" s="12" t="s">
        <v>155</v>
      </c>
      <c r="BB38" s="4" t="s">
        <v>155</v>
      </c>
      <c r="BC38" s="30">
        <f t="shared" si="7"/>
        <v>19</v>
      </c>
      <c r="BD38" s="31">
        <f t="shared" si="8"/>
        <v>65.560344827586206</v>
      </c>
      <c r="BE38" s="4">
        <v>17</v>
      </c>
      <c r="BF38" s="4">
        <v>14.5</v>
      </c>
      <c r="BG38" s="30">
        <f t="shared" si="9"/>
        <v>50</v>
      </c>
      <c r="BH38" s="31">
        <f t="shared" si="10"/>
        <v>41.666666666666671</v>
      </c>
      <c r="BI38" s="4">
        <v>3.7500000000000004</v>
      </c>
    </row>
    <row r="39" spans="1:61" x14ac:dyDescent="0.2">
      <c r="A39" s="2" t="s">
        <v>82</v>
      </c>
      <c r="B39" s="3" t="s">
        <v>83</v>
      </c>
      <c r="C39" s="3" t="s">
        <v>32</v>
      </c>
      <c r="D39" s="3" t="s">
        <v>33</v>
      </c>
      <c r="E39" s="3" t="s">
        <v>25</v>
      </c>
      <c r="F39" s="3" t="s">
        <v>161</v>
      </c>
      <c r="G39" s="3" t="s">
        <v>158</v>
      </c>
      <c r="H39" s="30">
        <f t="shared" si="0"/>
        <v>45</v>
      </c>
      <c r="I39" s="31">
        <f>VLOOKUP($A39,'Seed Base'!$A:$S,19,FALSE)</f>
        <v>47.804056409100745</v>
      </c>
      <c r="J39" s="4">
        <v>9</v>
      </c>
      <c r="K39" s="4">
        <v>3</v>
      </c>
      <c r="L39" s="4">
        <v>0</v>
      </c>
      <c r="M39" s="12">
        <v>561</v>
      </c>
      <c r="N39" s="4">
        <v>7.0133767243648091</v>
      </c>
      <c r="O39" s="30">
        <f t="shared" si="1"/>
        <v>50</v>
      </c>
      <c r="P39" s="31">
        <f>VLOOKUP($A39,'Fert Base'!$A:$S,19,FALSE)</f>
        <v>33.928571428571431</v>
      </c>
      <c r="Q39" s="4">
        <v>0</v>
      </c>
      <c r="R39" s="4">
        <v>3.5</v>
      </c>
      <c r="S39" s="4">
        <v>6</v>
      </c>
      <c r="T39" s="12" t="s">
        <v>155</v>
      </c>
      <c r="U39" s="4" t="s">
        <v>155</v>
      </c>
      <c r="V39" s="30">
        <f t="shared" si="2"/>
        <v>18</v>
      </c>
      <c r="W39" s="31">
        <f>VLOOKUP($A39,'Mech Base'!$A:$Z,24,FALSE)</f>
        <v>60.321755713496891</v>
      </c>
      <c r="X39" s="4">
        <v>4.5</v>
      </c>
      <c r="Y39" s="4">
        <v>2.6666666666666661</v>
      </c>
      <c r="Z39" s="4">
        <v>4.5</v>
      </c>
      <c r="AA39" s="12" t="s">
        <v>155</v>
      </c>
      <c r="AB39" s="4" t="s">
        <v>155</v>
      </c>
      <c r="AC39" s="12">
        <v>7</v>
      </c>
      <c r="AD39" s="4">
        <v>0.16184715517764942</v>
      </c>
      <c r="AE39" s="30">
        <f t="shared" si="3"/>
        <v>28</v>
      </c>
      <c r="AF39" s="31">
        <f>100*AVERAGE(IF(VLOOKUP(A39,'Data Gaps'!A:O,15,FALSE)="X",'EBA2017'!AH39/4,AVERAGE(AG39/5,AH39/4)),AVERAGE(AI39/5,AJ39/8),IF(VLOOKUP(A39,'Data Gaps'!A:O,15,FALSE)="X",'EBA2017'!AL39/7,AVERAGE(AK39/7,AL39/7)))</f>
        <v>52.148809523809526</v>
      </c>
      <c r="AG39" s="4">
        <v>4.3499999999999996</v>
      </c>
      <c r="AH39" s="4">
        <v>3.75</v>
      </c>
      <c r="AI39" s="4">
        <v>0</v>
      </c>
      <c r="AJ39" s="4">
        <v>6</v>
      </c>
      <c r="AK39" s="4">
        <v>0</v>
      </c>
      <c r="AL39" s="4">
        <v>4</v>
      </c>
      <c r="AM39" s="30">
        <f t="shared" si="4"/>
        <v>40</v>
      </c>
      <c r="AN39" s="31">
        <f>VLOOKUP($A39,'Mark Base'!$A:$Z,21,FALSE)</f>
        <v>53.055884021826614</v>
      </c>
      <c r="AO39" s="4">
        <v>4.9000000000000004</v>
      </c>
      <c r="AP39" s="4">
        <v>4</v>
      </c>
      <c r="AQ39" s="4">
        <v>3.5</v>
      </c>
      <c r="AR39" s="12">
        <v>2</v>
      </c>
      <c r="AS39" s="12" t="s">
        <v>153</v>
      </c>
      <c r="AT39" s="4">
        <v>4.9093637070553656E-2</v>
      </c>
      <c r="AU39" s="30">
        <f t="shared" si="5"/>
        <v>54</v>
      </c>
      <c r="AV39" s="31">
        <f t="shared" si="6"/>
        <v>28.27619336257715</v>
      </c>
      <c r="AW39" s="4">
        <v>5.1666666666666661</v>
      </c>
      <c r="AX39" s="4">
        <v>44</v>
      </c>
      <c r="AY39" s="4">
        <v>4.2255594764297966</v>
      </c>
      <c r="AZ39" s="4">
        <v>0</v>
      </c>
      <c r="BA39" s="12" t="s">
        <v>155</v>
      </c>
      <c r="BB39" s="4" t="s">
        <v>155</v>
      </c>
      <c r="BC39" s="30">
        <f t="shared" si="7"/>
        <v>45</v>
      </c>
      <c r="BD39" s="31">
        <f t="shared" si="8"/>
        <v>33.491379310344826</v>
      </c>
      <c r="BE39" s="4">
        <v>10</v>
      </c>
      <c r="BF39" s="4">
        <v>6.5</v>
      </c>
      <c r="BG39" s="30">
        <f t="shared" si="9"/>
        <v>22</v>
      </c>
      <c r="BH39" s="31">
        <f t="shared" si="10"/>
        <v>61.111111111111114</v>
      </c>
      <c r="BI39" s="4">
        <v>5.5</v>
      </c>
    </row>
    <row r="40" spans="1:61" x14ac:dyDescent="0.2">
      <c r="A40" s="2" t="s">
        <v>84</v>
      </c>
      <c r="B40" s="3" t="s">
        <v>85</v>
      </c>
      <c r="C40" s="3" t="s">
        <v>16</v>
      </c>
      <c r="D40" s="3" t="s">
        <v>17</v>
      </c>
      <c r="E40" s="3" t="s">
        <v>18</v>
      </c>
      <c r="F40" s="3" t="s">
        <v>159</v>
      </c>
      <c r="G40" s="3" t="s">
        <v>163</v>
      </c>
      <c r="H40" s="30">
        <f t="shared" si="0"/>
        <v>52</v>
      </c>
      <c r="I40" s="31">
        <f>VLOOKUP($A40,'Seed Base'!$A:$S,19,FALSE)</f>
        <v>36.98863636363636</v>
      </c>
      <c r="J40" s="4">
        <v>4</v>
      </c>
      <c r="K40" s="4">
        <v>5</v>
      </c>
      <c r="L40" s="4">
        <v>5</v>
      </c>
      <c r="M40" s="12" t="s">
        <v>154</v>
      </c>
      <c r="N40" s="4" t="s">
        <v>154</v>
      </c>
      <c r="O40" s="30">
        <f t="shared" si="1"/>
        <v>22</v>
      </c>
      <c r="P40" s="31">
        <f>VLOOKUP($A40,'Fert Base'!$A:$S,19,FALSE)</f>
        <v>66.757080913022392</v>
      </c>
      <c r="Q40" s="4">
        <v>4.5000000000000009</v>
      </c>
      <c r="R40" s="4">
        <v>3.5</v>
      </c>
      <c r="S40" s="4">
        <v>4.5000000000000009</v>
      </c>
      <c r="T40" s="12">
        <v>90</v>
      </c>
      <c r="U40" s="4">
        <v>124.40210375251506</v>
      </c>
      <c r="V40" s="30">
        <f t="shared" si="2"/>
        <v>61</v>
      </c>
      <c r="W40" s="31">
        <f>VLOOKUP($A40,'Mech Base'!$A:$Z,24,FALSE)</f>
        <v>8.8333333333333339</v>
      </c>
      <c r="X40" s="4">
        <v>0</v>
      </c>
      <c r="Y40" s="4">
        <v>0.33333333333333326</v>
      </c>
      <c r="Z40" s="4">
        <v>2</v>
      </c>
      <c r="AA40" s="12" t="s">
        <v>155</v>
      </c>
      <c r="AB40" s="4" t="s">
        <v>155</v>
      </c>
      <c r="AC40" s="12" t="s">
        <v>155</v>
      </c>
      <c r="AD40" s="4" t="s">
        <v>155</v>
      </c>
      <c r="AE40" s="30">
        <f t="shared" si="3"/>
        <v>41</v>
      </c>
      <c r="AF40" s="31">
        <f>100*AVERAGE(IF(VLOOKUP(A40,'Data Gaps'!A:O,15,FALSE)="X",'EBA2017'!AH40/4,AVERAGE(AG40/5,AH40/4)),AVERAGE(AI40/5,AJ40/8),IF(VLOOKUP(A40,'Data Gaps'!A:O,15,FALSE)="X",'EBA2017'!AL40/7,AVERAGE(AK40/7,AL40/7)))</f>
        <v>43.353174603174608</v>
      </c>
      <c r="AG40" s="4">
        <v>0</v>
      </c>
      <c r="AH40" s="4">
        <v>3.8333333333333339</v>
      </c>
      <c r="AI40" s="4">
        <v>0</v>
      </c>
      <c r="AJ40" s="4">
        <v>4</v>
      </c>
      <c r="AK40" s="4">
        <v>4</v>
      </c>
      <c r="AL40" s="4">
        <v>4</v>
      </c>
      <c r="AM40" s="30">
        <f t="shared" si="4"/>
        <v>44</v>
      </c>
      <c r="AN40" s="31">
        <f>VLOOKUP($A40,'Mark Base'!$A:$Z,21,FALSE)</f>
        <v>51.776964639068289</v>
      </c>
      <c r="AO40" s="4">
        <v>8</v>
      </c>
      <c r="AP40" s="4">
        <v>2</v>
      </c>
      <c r="AQ40" s="4">
        <v>5.5</v>
      </c>
      <c r="AR40" s="12">
        <v>1</v>
      </c>
      <c r="AS40" s="12">
        <v>2</v>
      </c>
      <c r="AT40" s="4">
        <v>4.1076166333377611</v>
      </c>
      <c r="AU40" s="30">
        <f t="shared" si="5"/>
        <v>42</v>
      </c>
      <c r="AV40" s="31">
        <f t="shared" si="6"/>
        <v>45.049463718850156</v>
      </c>
      <c r="AW40" s="4">
        <v>3.5</v>
      </c>
      <c r="AX40" s="4">
        <v>3</v>
      </c>
      <c r="AY40" s="4">
        <v>3.7555352076230966</v>
      </c>
      <c r="AZ40" s="4">
        <v>5</v>
      </c>
      <c r="BA40" s="12" t="s">
        <v>154</v>
      </c>
      <c r="BB40" s="4" t="s">
        <v>154</v>
      </c>
      <c r="BC40" s="30">
        <f t="shared" si="7"/>
        <v>50</v>
      </c>
      <c r="BD40" s="31">
        <f t="shared" si="8"/>
        <v>24.439655172413794</v>
      </c>
      <c r="BE40" s="4">
        <v>12</v>
      </c>
      <c r="BF40" s="4">
        <v>1.5</v>
      </c>
      <c r="BG40" s="30">
        <f t="shared" si="9"/>
        <v>52</v>
      </c>
      <c r="BH40" s="31">
        <f t="shared" si="10"/>
        <v>38.888888888888893</v>
      </c>
      <c r="BI40" s="4">
        <v>3.5000000000000004</v>
      </c>
    </row>
    <row r="41" spans="1:61" x14ac:dyDescent="0.2">
      <c r="A41" s="2" t="s">
        <v>86</v>
      </c>
      <c r="B41" s="3" t="s">
        <v>87</v>
      </c>
      <c r="C41" s="3" t="s">
        <v>21</v>
      </c>
      <c r="D41" s="3" t="s">
        <v>22</v>
      </c>
      <c r="E41" s="3" t="s">
        <v>25</v>
      </c>
      <c r="F41" s="3" t="s">
        <v>161</v>
      </c>
      <c r="G41" s="3" t="s">
        <v>158</v>
      </c>
      <c r="H41" s="30">
        <f t="shared" si="0"/>
        <v>24</v>
      </c>
      <c r="I41" s="31">
        <f>VLOOKUP($A41,'Seed Base'!$A:$S,19,FALSE)</f>
        <v>64.655353384183428</v>
      </c>
      <c r="J41" s="4">
        <v>8</v>
      </c>
      <c r="K41" s="4">
        <v>5</v>
      </c>
      <c r="L41" s="4">
        <v>7</v>
      </c>
      <c r="M41" s="12">
        <v>621</v>
      </c>
      <c r="N41" s="4">
        <v>16.160026166289668</v>
      </c>
      <c r="O41" s="30">
        <f t="shared" si="1"/>
        <v>23</v>
      </c>
      <c r="P41" s="31">
        <f>VLOOKUP($A41,'Fert Base'!$A:$S,19,FALSE)</f>
        <v>66.620624087555711</v>
      </c>
      <c r="Q41" s="4">
        <v>6</v>
      </c>
      <c r="R41" s="4">
        <v>4</v>
      </c>
      <c r="S41" s="4">
        <v>4.5000000000000009</v>
      </c>
      <c r="T41" s="12">
        <v>765</v>
      </c>
      <c r="U41" s="4">
        <v>11.529061690333062</v>
      </c>
      <c r="V41" s="30">
        <f t="shared" si="2"/>
        <v>51</v>
      </c>
      <c r="W41" s="31">
        <f>VLOOKUP($A41,'Mech Base'!$A:$Z,24,FALSE)</f>
        <v>26.875</v>
      </c>
      <c r="X41" s="4">
        <v>1</v>
      </c>
      <c r="Y41" s="4">
        <v>3</v>
      </c>
      <c r="Z41" s="4">
        <v>2.5</v>
      </c>
      <c r="AA41" s="12" t="s">
        <v>155</v>
      </c>
      <c r="AB41" s="4" t="s">
        <v>155</v>
      </c>
      <c r="AC41" s="12" t="s">
        <v>153</v>
      </c>
      <c r="AD41" s="4" t="s">
        <v>153</v>
      </c>
      <c r="AE41" s="30">
        <f t="shared" si="3"/>
        <v>9</v>
      </c>
      <c r="AF41" s="31">
        <f>100*AVERAGE(IF(VLOOKUP(A41,'Data Gaps'!A:O,15,FALSE)="X",'EBA2017'!AH41/4,AVERAGE(AG41/5,AH41/4)),AVERAGE(AI41/5,AJ41/8),IF(VLOOKUP(A41,'Data Gaps'!A:O,15,FALSE)="X",'EBA2017'!AL41/7,AVERAGE(AK41/7,AL41/7)))</f>
        <v>76.535714285714278</v>
      </c>
      <c r="AG41" s="4">
        <v>4.1749999999999998</v>
      </c>
      <c r="AH41" s="4">
        <v>0</v>
      </c>
      <c r="AI41" s="4">
        <v>4.5</v>
      </c>
      <c r="AJ41" s="4">
        <v>8</v>
      </c>
      <c r="AK41" s="4">
        <v>6</v>
      </c>
      <c r="AL41" s="4">
        <v>7</v>
      </c>
      <c r="AM41" s="30">
        <f t="shared" si="4"/>
        <v>3</v>
      </c>
      <c r="AN41" s="31">
        <f>VLOOKUP($A41,'Mark Base'!$A:$Z,21,FALSE)</f>
        <v>83.084991699092043</v>
      </c>
      <c r="AO41" s="4">
        <v>9.75</v>
      </c>
      <c r="AP41" s="4">
        <v>7</v>
      </c>
      <c r="AQ41" s="4">
        <v>7.5</v>
      </c>
      <c r="AR41" s="12">
        <v>1</v>
      </c>
      <c r="AS41" s="12">
        <v>1</v>
      </c>
      <c r="AT41" s="4">
        <v>0.33456442030230626</v>
      </c>
      <c r="AU41" s="30">
        <f t="shared" si="5"/>
        <v>20</v>
      </c>
      <c r="AV41" s="31">
        <f t="shared" si="6"/>
        <v>67.990748352390213</v>
      </c>
      <c r="AW41" s="4">
        <v>7.4999999999999991</v>
      </c>
      <c r="AX41" s="4">
        <v>30</v>
      </c>
      <c r="AY41" s="4">
        <v>3.9928428399593372</v>
      </c>
      <c r="AZ41" s="4">
        <v>5</v>
      </c>
      <c r="BA41" s="12">
        <v>30</v>
      </c>
      <c r="BB41" s="4">
        <v>3.0895983522142121</v>
      </c>
      <c r="BC41" s="30">
        <f t="shared" si="7"/>
        <v>2</v>
      </c>
      <c r="BD41" s="31">
        <f t="shared" si="8"/>
        <v>91.25</v>
      </c>
      <c r="BE41" s="4">
        <v>29</v>
      </c>
      <c r="BF41" s="4">
        <v>16.5</v>
      </c>
      <c r="BG41" s="30">
        <f t="shared" si="9"/>
        <v>9</v>
      </c>
      <c r="BH41" s="31">
        <f t="shared" si="10"/>
        <v>88.888888888888886</v>
      </c>
      <c r="BI41" s="4">
        <v>8</v>
      </c>
    </row>
    <row r="42" spans="1:61" x14ac:dyDescent="0.2">
      <c r="A42" s="2" t="s">
        <v>88</v>
      </c>
      <c r="B42" s="3" t="s">
        <v>89</v>
      </c>
      <c r="C42" s="3" t="s">
        <v>49</v>
      </c>
      <c r="D42" s="3" t="s">
        <v>50</v>
      </c>
      <c r="E42" s="3" t="s">
        <v>9</v>
      </c>
      <c r="F42" s="3" t="s">
        <v>161</v>
      </c>
      <c r="G42" s="3" t="s">
        <v>158</v>
      </c>
      <c r="H42" s="30">
        <f t="shared" si="0"/>
        <v>20</v>
      </c>
      <c r="I42" s="31">
        <f>VLOOKUP($A42,'Seed Base'!$A:$S,19,FALSE)</f>
        <v>67.866976671814015</v>
      </c>
      <c r="J42" s="4">
        <v>10</v>
      </c>
      <c r="K42" s="4">
        <v>4.5</v>
      </c>
      <c r="L42" s="4">
        <v>6.5</v>
      </c>
      <c r="M42" s="12">
        <v>584</v>
      </c>
      <c r="N42" s="4">
        <v>18.132427180903157</v>
      </c>
      <c r="O42" s="30">
        <f t="shared" si="1"/>
        <v>51</v>
      </c>
      <c r="P42" s="31">
        <f>VLOOKUP($A42,'Fert Base'!$A:$S,19,FALSE)</f>
        <v>32.142857142857139</v>
      </c>
      <c r="Q42" s="4">
        <v>0</v>
      </c>
      <c r="R42" s="4">
        <v>5.5</v>
      </c>
      <c r="S42" s="4">
        <v>3.5</v>
      </c>
      <c r="T42" s="12" t="s">
        <v>155</v>
      </c>
      <c r="U42" s="4" t="s">
        <v>155</v>
      </c>
      <c r="V42" s="30">
        <f t="shared" si="2"/>
        <v>17</v>
      </c>
      <c r="W42" s="31">
        <f>VLOOKUP($A42,'Mech Base'!$A:$Z,24,FALSE)</f>
        <v>60.331878652811085</v>
      </c>
      <c r="X42" s="4">
        <v>0.5</v>
      </c>
      <c r="Y42" s="4">
        <v>5</v>
      </c>
      <c r="Z42" s="4">
        <v>3</v>
      </c>
      <c r="AA42" s="12">
        <v>31</v>
      </c>
      <c r="AB42" s="4">
        <v>271.98640771354741</v>
      </c>
      <c r="AC42" s="12">
        <v>1</v>
      </c>
      <c r="AD42" s="4">
        <v>1.2874023298441242</v>
      </c>
      <c r="AE42" s="30">
        <f t="shared" si="3"/>
        <v>57</v>
      </c>
      <c r="AF42" s="31">
        <f>100*AVERAGE(IF(VLOOKUP(A42,'Data Gaps'!A:O,15,FALSE)="X",'EBA2017'!AH42/4,AVERAGE(AG42/5,AH42/4)),AVERAGE(AI42/5,AJ42/8),IF(VLOOKUP(A42,'Data Gaps'!A:O,15,FALSE)="X",'EBA2017'!AL42/7,AVERAGE(AK42/7,AL42/7)))</f>
        <v>28.999999999999996</v>
      </c>
      <c r="AG42" s="4">
        <v>2.5750000000000002</v>
      </c>
      <c r="AH42" s="4">
        <v>1</v>
      </c>
      <c r="AI42" s="4">
        <v>3</v>
      </c>
      <c r="AJ42" s="4">
        <v>3</v>
      </c>
      <c r="AK42" s="4">
        <v>0</v>
      </c>
      <c r="AL42" s="4">
        <v>0</v>
      </c>
      <c r="AM42" s="30">
        <f t="shared" si="4"/>
        <v>24</v>
      </c>
      <c r="AN42" s="31">
        <f>VLOOKUP($A42,'Mark Base'!$A:$Z,21,FALSE)</f>
        <v>64.215652996325701</v>
      </c>
      <c r="AO42" s="4">
        <v>6.8</v>
      </c>
      <c r="AP42" s="4">
        <v>6.5</v>
      </c>
      <c r="AQ42" s="4">
        <v>5</v>
      </c>
      <c r="AR42" s="12">
        <v>2</v>
      </c>
      <c r="AS42" s="12">
        <v>4</v>
      </c>
      <c r="AT42" s="4">
        <v>0.54397281542709486</v>
      </c>
      <c r="AU42" s="30">
        <f t="shared" si="5"/>
        <v>8</v>
      </c>
      <c r="AV42" s="31">
        <f t="shared" si="6"/>
        <v>79.890678941311847</v>
      </c>
      <c r="AW42" s="4">
        <v>6.1666666666666679</v>
      </c>
      <c r="AX42" s="4">
        <v>6</v>
      </c>
      <c r="AY42" s="4">
        <v>0</v>
      </c>
      <c r="AZ42" s="4">
        <v>5.9999999999999991</v>
      </c>
      <c r="BA42" s="12">
        <v>1</v>
      </c>
      <c r="BB42" s="4">
        <v>0</v>
      </c>
      <c r="BC42" s="30">
        <f t="shared" si="7"/>
        <v>8</v>
      </c>
      <c r="BD42" s="31">
        <f t="shared" si="8"/>
        <v>76.59482758620689</v>
      </c>
      <c r="BE42" s="4">
        <v>20.5</v>
      </c>
      <c r="BF42" s="4">
        <v>16.5</v>
      </c>
      <c r="BG42" s="30">
        <f t="shared" si="9"/>
        <v>18</v>
      </c>
      <c r="BH42" s="31">
        <f t="shared" si="10"/>
        <v>66.666666666666657</v>
      </c>
      <c r="BI42" s="4">
        <v>5.9999999999999991</v>
      </c>
    </row>
    <row r="43" spans="1:61" x14ac:dyDescent="0.2">
      <c r="A43" s="2" t="s">
        <v>90</v>
      </c>
      <c r="B43" s="3" t="s">
        <v>91</v>
      </c>
      <c r="C43" s="3" t="s">
        <v>16</v>
      </c>
      <c r="D43" s="3" t="s">
        <v>17</v>
      </c>
      <c r="E43" s="3" t="s">
        <v>18</v>
      </c>
      <c r="F43" s="3" t="s">
        <v>159</v>
      </c>
      <c r="G43" s="3" t="s">
        <v>158</v>
      </c>
      <c r="H43" s="30">
        <f t="shared" si="0"/>
        <v>23</v>
      </c>
      <c r="I43" s="31">
        <f>VLOOKUP($A43,'Seed Base'!$A:$S,19,FALSE)</f>
        <v>65.68077412047495</v>
      </c>
      <c r="J43" s="4">
        <v>8</v>
      </c>
      <c r="K43" s="4">
        <v>6</v>
      </c>
      <c r="L43" s="4">
        <v>6</v>
      </c>
      <c r="M43" s="12">
        <v>582</v>
      </c>
      <c r="N43" s="4">
        <v>86.206896551724128</v>
      </c>
      <c r="O43" s="30">
        <f t="shared" si="1"/>
        <v>47</v>
      </c>
      <c r="P43" s="31">
        <f>VLOOKUP($A43,'Fert Base'!$A:$S,19,FALSE)</f>
        <v>38.928571428571431</v>
      </c>
      <c r="Q43" s="4">
        <v>3.4</v>
      </c>
      <c r="R43" s="4">
        <v>4</v>
      </c>
      <c r="S43" s="4">
        <v>3.5</v>
      </c>
      <c r="T43" s="12" t="s">
        <v>154</v>
      </c>
      <c r="U43" s="4" t="s">
        <v>154</v>
      </c>
      <c r="V43" s="30">
        <f t="shared" si="2"/>
        <v>47</v>
      </c>
      <c r="W43" s="31">
        <f>VLOOKUP($A43,'Mech Base'!$A:$Z,24,FALSE)</f>
        <v>34.575614656911497</v>
      </c>
      <c r="X43" s="4">
        <v>0.5</v>
      </c>
      <c r="Y43" s="4">
        <v>2.3333333333333335</v>
      </c>
      <c r="Z43" s="4">
        <v>4.5</v>
      </c>
      <c r="AA43" s="12" t="s">
        <v>155</v>
      </c>
      <c r="AB43" s="4" t="s">
        <v>155</v>
      </c>
      <c r="AC43" s="12">
        <v>20</v>
      </c>
      <c r="AD43" s="4">
        <v>14.624280806810114</v>
      </c>
      <c r="AE43" s="30">
        <f t="shared" si="3"/>
        <v>25</v>
      </c>
      <c r="AF43" s="31">
        <f>100*AVERAGE(IF(VLOOKUP(A43,'Data Gaps'!A:O,15,FALSE)="X",'EBA2017'!AH43/4,AVERAGE(AG43/5,AH43/4)),AVERAGE(AI43/5,AJ43/8),IF(VLOOKUP(A43,'Data Gaps'!A:O,15,FALSE)="X",'EBA2017'!AL43/7,AVERAGE(AK43/7,AL43/7)))</f>
        <v>55.095238095238095</v>
      </c>
      <c r="AG43" s="4">
        <v>3.85</v>
      </c>
      <c r="AH43" s="4">
        <v>1</v>
      </c>
      <c r="AI43" s="4">
        <v>3.75</v>
      </c>
      <c r="AJ43" s="4">
        <v>2</v>
      </c>
      <c r="AK43" s="4">
        <v>4</v>
      </c>
      <c r="AL43" s="4">
        <v>5</v>
      </c>
      <c r="AM43" s="30">
        <f t="shared" si="4"/>
        <v>30</v>
      </c>
      <c r="AN43" s="31">
        <f>VLOOKUP($A43,'Mark Base'!$A:$Z,21,FALSE)</f>
        <v>59.523753824128242</v>
      </c>
      <c r="AO43" s="4">
        <v>8.1</v>
      </c>
      <c r="AP43" s="4">
        <v>5</v>
      </c>
      <c r="AQ43" s="4">
        <v>5</v>
      </c>
      <c r="AR43" s="12">
        <v>1</v>
      </c>
      <c r="AS43" s="12">
        <v>7</v>
      </c>
      <c r="AT43" s="4">
        <v>1.9986517102640489</v>
      </c>
      <c r="AU43" s="30">
        <f t="shared" si="5"/>
        <v>33</v>
      </c>
      <c r="AV43" s="31">
        <f t="shared" si="6"/>
        <v>54.907723225399408</v>
      </c>
      <c r="AW43" s="4">
        <v>5</v>
      </c>
      <c r="AX43" s="4">
        <v>2.5</v>
      </c>
      <c r="AY43" s="4">
        <v>19.49904107574682</v>
      </c>
      <c r="AZ43" s="4">
        <v>5</v>
      </c>
      <c r="BA43" s="12">
        <v>2.5</v>
      </c>
      <c r="BB43" s="4">
        <v>58.497123227240458</v>
      </c>
      <c r="BC43" s="30">
        <f t="shared" si="7"/>
        <v>21</v>
      </c>
      <c r="BD43" s="31">
        <f t="shared" si="8"/>
        <v>63.362068965517238</v>
      </c>
      <c r="BE43" s="4">
        <v>15.000000000000002</v>
      </c>
      <c r="BF43" s="4">
        <v>15</v>
      </c>
      <c r="BG43" s="30">
        <f t="shared" si="9"/>
        <v>22</v>
      </c>
      <c r="BH43" s="31">
        <f t="shared" si="10"/>
        <v>61.111111111111114</v>
      </c>
      <c r="BI43" s="4">
        <v>5.5</v>
      </c>
    </row>
    <row r="44" spans="1:61" x14ac:dyDescent="0.2">
      <c r="A44" s="2" t="s">
        <v>92</v>
      </c>
      <c r="B44" s="3" t="s">
        <v>93</v>
      </c>
      <c r="C44" s="3" t="s">
        <v>32</v>
      </c>
      <c r="D44" s="3" t="s">
        <v>33</v>
      </c>
      <c r="E44" s="3" t="s">
        <v>9</v>
      </c>
      <c r="F44" s="3" t="s">
        <v>161</v>
      </c>
      <c r="G44" s="3" t="s">
        <v>158</v>
      </c>
      <c r="H44" s="30">
        <f t="shared" si="0"/>
        <v>34</v>
      </c>
      <c r="I44" s="31">
        <f>VLOOKUP($A44,'Seed Base'!$A:$S,19,FALSE)</f>
        <v>54.599096630283171</v>
      </c>
      <c r="J44" s="4">
        <v>7</v>
      </c>
      <c r="K44" s="4">
        <v>3</v>
      </c>
      <c r="L44" s="4">
        <v>3</v>
      </c>
      <c r="M44" s="12">
        <v>306</v>
      </c>
      <c r="N44" s="4">
        <v>26.603349048226509</v>
      </c>
      <c r="O44" s="30">
        <f t="shared" si="1"/>
        <v>30</v>
      </c>
      <c r="P44" s="31">
        <f>VLOOKUP($A44,'Fert Base'!$A:$S,19,FALSE)</f>
        <v>61.637065320147286</v>
      </c>
      <c r="Q44" s="4">
        <v>4.4000000000000004</v>
      </c>
      <c r="R44" s="4">
        <v>3</v>
      </c>
      <c r="S44" s="4">
        <v>3</v>
      </c>
      <c r="T44" s="12">
        <v>41</v>
      </c>
      <c r="U44" s="4">
        <v>7.3159209882622909</v>
      </c>
      <c r="V44" s="30">
        <f t="shared" si="2"/>
        <v>62</v>
      </c>
      <c r="W44" s="31">
        <f>VLOOKUP($A44,'Mech Base'!$A:$Z,24,FALSE)</f>
        <v>2.833333333333333</v>
      </c>
      <c r="X44" s="4">
        <v>0</v>
      </c>
      <c r="Y44" s="4">
        <v>0.33333333333333326</v>
      </c>
      <c r="Z44" s="4">
        <v>0.5</v>
      </c>
      <c r="AA44" s="12" t="s">
        <v>155</v>
      </c>
      <c r="AB44" s="4" t="s">
        <v>155</v>
      </c>
      <c r="AC44" s="12" t="s">
        <v>155</v>
      </c>
      <c r="AD44" s="4" t="s">
        <v>155</v>
      </c>
      <c r="AE44" s="30">
        <f t="shared" si="3"/>
        <v>61</v>
      </c>
      <c r="AF44" s="31">
        <f>100*AVERAGE(IF(VLOOKUP(A44,'Data Gaps'!A:O,15,FALSE)="X",'EBA2017'!AH44/4,AVERAGE(AG44/5,AH44/4)),AVERAGE(AI44/5,AJ44/8),IF(VLOOKUP(A44,'Data Gaps'!A:O,15,FALSE)="X",'EBA2017'!AL44/7,AVERAGE(AK44/7,AL44/7)))</f>
        <v>22.916666666666664</v>
      </c>
      <c r="AG44" s="4">
        <v>0</v>
      </c>
      <c r="AH44" s="4">
        <v>1</v>
      </c>
      <c r="AI44" s="4">
        <v>0</v>
      </c>
      <c r="AJ44" s="4">
        <v>1</v>
      </c>
      <c r="AK44" s="4">
        <v>3</v>
      </c>
      <c r="AL44" s="4">
        <v>4</v>
      </c>
      <c r="AM44" s="30">
        <f t="shared" si="4"/>
        <v>53</v>
      </c>
      <c r="AN44" s="31">
        <f>VLOOKUP($A44,'Mark Base'!$A:$Z,21,FALSE)</f>
        <v>42.326440528762468</v>
      </c>
      <c r="AO44" s="4">
        <v>6.5</v>
      </c>
      <c r="AP44" s="4">
        <v>0</v>
      </c>
      <c r="AQ44" s="4">
        <v>5</v>
      </c>
      <c r="AR44" s="12">
        <v>2</v>
      </c>
      <c r="AS44" s="12">
        <v>4</v>
      </c>
      <c r="AT44" s="4">
        <v>1.1722100674374807</v>
      </c>
      <c r="AU44" s="30">
        <f t="shared" si="5"/>
        <v>51</v>
      </c>
      <c r="AV44" s="31">
        <f t="shared" si="6"/>
        <v>30.185169715865324</v>
      </c>
      <c r="AW44" s="4">
        <v>1.4999999999999998</v>
      </c>
      <c r="AX44" s="4">
        <v>7</v>
      </c>
      <c r="AY44" s="4">
        <v>0.13301674524113255</v>
      </c>
      <c r="AZ44" s="4">
        <v>1</v>
      </c>
      <c r="BA44" s="12" t="s">
        <v>155</v>
      </c>
      <c r="BB44" s="4" t="s">
        <v>155</v>
      </c>
      <c r="BC44" s="30">
        <f t="shared" si="7"/>
        <v>62</v>
      </c>
      <c r="BD44" s="31">
        <f t="shared" si="8"/>
        <v>2.5862068965517242</v>
      </c>
      <c r="BE44" s="4">
        <v>1.5</v>
      </c>
      <c r="BF44" s="4">
        <v>0</v>
      </c>
      <c r="BG44" s="30">
        <f t="shared" si="9"/>
        <v>37</v>
      </c>
      <c r="BH44" s="31">
        <f t="shared" si="10"/>
        <v>50</v>
      </c>
      <c r="BI44" s="4">
        <v>4.5</v>
      </c>
    </row>
    <row r="45" spans="1:61" x14ac:dyDescent="0.2">
      <c r="A45" s="2" t="s">
        <v>94</v>
      </c>
      <c r="B45" s="3" t="s">
        <v>95</v>
      </c>
      <c r="C45" s="3" t="s">
        <v>12</v>
      </c>
      <c r="D45" s="3" t="s">
        <v>13</v>
      </c>
      <c r="E45" s="3" t="s">
        <v>18</v>
      </c>
      <c r="F45" s="3" t="s">
        <v>160</v>
      </c>
      <c r="G45" s="3" t="s">
        <v>163</v>
      </c>
      <c r="H45" s="30">
        <f t="shared" si="0"/>
        <v>46</v>
      </c>
      <c r="I45" s="31">
        <f>VLOOKUP($A45,'Seed Base'!$A:$S,19,FALSE)</f>
        <v>47.311566168623258</v>
      </c>
      <c r="J45" s="4">
        <v>4</v>
      </c>
      <c r="K45" s="4">
        <v>5.5</v>
      </c>
      <c r="L45" s="4">
        <v>1</v>
      </c>
      <c r="M45" s="12">
        <v>611</v>
      </c>
      <c r="N45" s="4">
        <v>0</v>
      </c>
      <c r="O45" s="30">
        <f t="shared" si="1"/>
        <v>41</v>
      </c>
      <c r="P45" s="31">
        <f>VLOOKUP($A45,'Fert Base'!$A:$S,19,FALSE)</f>
        <v>45.464260728184172</v>
      </c>
      <c r="Q45" s="4">
        <v>3.4</v>
      </c>
      <c r="R45" s="4">
        <v>5</v>
      </c>
      <c r="S45" s="4">
        <v>3.5</v>
      </c>
      <c r="T45" s="12">
        <v>1125</v>
      </c>
      <c r="U45" s="4">
        <v>645.20547945205476</v>
      </c>
      <c r="V45" s="30">
        <f t="shared" si="2"/>
        <v>36</v>
      </c>
      <c r="W45" s="31">
        <f>VLOOKUP($A45,'Mech Base'!$A:$Z,24,FALSE)</f>
        <v>47.205511824834254</v>
      </c>
      <c r="X45" s="4">
        <v>3</v>
      </c>
      <c r="Y45" s="4">
        <v>0.33333333333333326</v>
      </c>
      <c r="Z45" s="4">
        <v>4</v>
      </c>
      <c r="AA45" s="12" t="s">
        <v>155</v>
      </c>
      <c r="AB45" s="4" t="s">
        <v>155</v>
      </c>
      <c r="AC45" s="12">
        <v>2</v>
      </c>
      <c r="AD45" s="4">
        <v>4.6193914877301419</v>
      </c>
      <c r="AE45" s="30">
        <f t="shared" si="3"/>
        <v>34</v>
      </c>
      <c r="AF45" s="31">
        <f>100*AVERAGE(IF(VLOOKUP(A45,'Data Gaps'!A:O,15,FALSE)="X",'EBA2017'!AH45/4,AVERAGE(AG45/5,AH45/4)),AVERAGE(AI45/5,AJ45/8),IF(VLOOKUP(A45,'Data Gaps'!A:O,15,FALSE)="X",'EBA2017'!AL45/7,AVERAGE(AK45/7,AL45/7)))</f>
        <v>46.309523809523803</v>
      </c>
      <c r="AG45" s="4">
        <v>3.625</v>
      </c>
      <c r="AH45" s="4">
        <v>1</v>
      </c>
      <c r="AI45" s="4">
        <v>0</v>
      </c>
      <c r="AJ45" s="4">
        <v>3</v>
      </c>
      <c r="AK45" s="4">
        <v>4</v>
      </c>
      <c r="AL45" s="4">
        <v>6</v>
      </c>
      <c r="AM45" s="30">
        <f t="shared" si="4"/>
        <v>28</v>
      </c>
      <c r="AN45" s="31">
        <f>VLOOKUP($A45,'Mark Base'!$A:$Z,21,FALSE)</f>
        <v>60.597224495121793</v>
      </c>
      <c r="AO45" s="4">
        <v>6.85</v>
      </c>
      <c r="AP45" s="4">
        <v>4</v>
      </c>
      <c r="AQ45" s="4">
        <v>6</v>
      </c>
      <c r="AR45" s="12">
        <v>2</v>
      </c>
      <c r="AS45" s="12">
        <v>2</v>
      </c>
      <c r="AT45" s="4">
        <v>0.66651220037249193</v>
      </c>
      <c r="AU45" s="30">
        <f t="shared" si="5"/>
        <v>52</v>
      </c>
      <c r="AV45" s="31">
        <f t="shared" si="6"/>
        <v>29.76601457614116</v>
      </c>
      <c r="AW45" s="4">
        <v>4.0000000000000009</v>
      </c>
      <c r="AX45" s="4">
        <v>2</v>
      </c>
      <c r="AY45" s="4">
        <v>38.208966734225029</v>
      </c>
      <c r="AZ45" s="4">
        <v>2.9999999999999996</v>
      </c>
      <c r="BA45" s="12" t="s">
        <v>155</v>
      </c>
      <c r="BB45" s="4" t="s">
        <v>155</v>
      </c>
      <c r="BC45" s="30">
        <f t="shared" si="7"/>
        <v>52</v>
      </c>
      <c r="BD45" s="31">
        <f t="shared" si="8"/>
        <v>22.974137931034484</v>
      </c>
      <c r="BE45" s="4">
        <v>1</v>
      </c>
      <c r="BF45" s="4">
        <v>8.5</v>
      </c>
      <c r="BG45" s="30">
        <f t="shared" si="9"/>
        <v>43</v>
      </c>
      <c r="BH45" s="31">
        <f t="shared" si="10"/>
        <v>44.444444444444443</v>
      </c>
      <c r="BI45" s="4">
        <v>4</v>
      </c>
    </row>
    <row r="46" spans="1:61" x14ac:dyDescent="0.2">
      <c r="A46" s="2" t="s">
        <v>96</v>
      </c>
      <c r="B46" s="3" t="s">
        <v>97</v>
      </c>
      <c r="C46" s="3" t="s">
        <v>38</v>
      </c>
      <c r="D46" s="3" t="s">
        <v>39</v>
      </c>
      <c r="E46" s="3" t="s">
        <v>40</v>
      </c>
      <c r="F46" s="3" t="s">
        <v>161</v>
      </c>
      <c r="G46" s="3" t="s">
        <v>163</v>
      </c>
      <c r="H46" s="30">
        <f t="shared" si="0"/>
        <v>1</v>
      </c>
      <c r="I46" s="31">
        <f>VLOOKUP($A46,'Seed Base'!$A:$S,19,FALSE)</f>
        <v>87.999811927903821</v>
      </c>
      <c r="J46" s="4">
        <v>9</v>
      </c>
      <c r="K46" s="4">
        <v>7</v>
      </c>
      <c r="L46" s="4">
        <v>12</v>
      </c>
      <c r="M46" s="12">
        <v>556</v>
      </c>
      <c r="N46" s="4">
        <v>13.712385666442032</v>
      </c>
      <c r="O46" s="30">
        <f t="shared" si="1"/>
        <v>28</v>
      </c>
      <c r="P46" s="31">
        <f>VLOOKUP($A46,'Fert Base'!$A:$S,19,FALSE)</f>
        <v>62.5</v>
      </c>
      <c r="Q46" s="4">
        <v>5</v>
      </c>
      <c r="R46" s="4">
        <v>6.5</v>
      </c>
      <c r="S46" s="4">
        <v>6</v>
      </c>
      <c r="T46" s="12" t="s">
        <v>155</v>
      </c>
      <c r="U46" s="4" t="s">
        <v>155</v>
      </c>
      <c r="V46" s="30">
        <f t="shared" si="2"/>
        <v>7</v>
      </c>
      <c r="W46" s="31">
        <f>VLOOKUP($A46,'Mech Base'!$A:$Z,24,FALSE)</f>
        <v>81.832511402252564</v>
      </c>
      <c r="X46" s="4">
        <v>2</v>
      </c>
      <c r="Y46" s="4">
        <v>7</v>
      </c>
      <c r="Z46" s="4">
        <v>5</v>
      </c>
      <c r="AA46" s="12" t="s">
        <v>153</v>
      </c>
      <c r="AB46" s="4" t="s">
        <v>153</v>
      </c>
      <c r="AC46" s="12">
        <v>1</v>
      </c>
      <c r="AD46" s="4">
        <v>0.14991675291299597</v>
      </c>
      <c r="AE46" s="30">
        <f t="shared" si="3"/>
        <v>17</v>
      </c>
      <c r="AF46" s="31">
        <f>100*AVERAGE(IF(VLOOKUP(A46,'Data Gaps'!A:O,15,FALSE)="X",'EBA2017'!AH46/4,AVERAGE(AG46/5,AH46/4)),AVERAGE(AI46/5,AJ46/8),IF(VLOOKUP(A46,'Data Gaps'!A:O,15,FALSE)="X",'EBA2017'!AL46/7,AVERAGE(AK46/7,AL46/7)))</f>
        <v>61.30952380952381</v>
      </c>
      <c r="AG46" s="4" t="s">
        <v>155</v>
      </c>
      <c r="AH46" s="4">
        <v>2.75</v>
      </c>
      <c r="AI46" s="4">
        <v>2.5</v>
      </c>
      <c r="AJ46" s="4">
        <v>3</v>
      </c>
      <c r="AK46" s="4" t="s">
        <v>155</v>
      </c>
      <c r="AL46" s="4">
        <v>5</v>
      </c>
      <c r="AM46" s="30">
        <f t="shared" si="4"/>
        <v>1</v>
      </c>
      <c r="AN46" s="31">
        <f>VLOOKUP($A46,'Mark Base'!$A:$Z,21,FALSE)</f>
        <v>87.606837606837601</v>
      </c>
      <c r="AO46" s="4">
        <v>8</v>
      </c>
      <c r="AP46" s="4">
        <v>8</v>
      </c>
      <c r="AQ46" s="4">
        <v>8</v>
      </c>
      <c r="AR46" s="12">
        <v>0</v>
      </c>
      <c r="AS46" s="12">
        <v>0</v>
      </c>
      <c r="AT46" s="4">
        <v>0</v>
      </c>
      <c r="AU46" s="30">
        <f t="shared" si="5"/>
        <v>9</v>
      </c>
      <c r="AV46" s="31">
        <f t="shared" si="6"/>
        <v>76.472197694448838</v>
      </c>
      <c r="AW46" s="4">
        <v>9.8333333333333321</v>
      </c>
      <c r="AX46" s="4">
        <v>56</v>
      </c>
      <c r="AY46" s="4">
        <v>0.86784434579412262</v>
      </c>
      <c r="AZ46" s="4">
        <v>9</v>
      </c>
      <c r="BA46" s="12">
        <v>56</v>
      </c>
      <c r="BB46" s="4">
        <v>0.86784434579412262</v>
      </c>
      <c r="BC46" s="30">
        <f t="shared" si="7"/>
        <v>20</v>
      </c>
      <c r="BD46" s="31">
        <f t="shared" si="8"/>
        <v>64.267241379310349</v>
      </c>
      <c r="BE46" s="4">
        <v>23.5</v>
      </c>
      <c r="BF46" s="4">
        <v>9.5</v>
      </c>
      <c r="BG46" s="30">
        <f t="shared" si="9"/>
        <v>1</v>
      </c>
      <c r="BH46" s="31">
        <f t="shared" si="10"/>
        <v>100</v>
      </c>
      <c r="BI46" s="4">
        <v>9</v>
      </c>
    </row>
    <row r="47" spans="1:61" x14ac:dyDescent="0.2">
      <c r="A47" s="2" t="s">
        <v>98</v>
      </c>
      <c r="B47" s="3" t="s">
        <v>99</v>
      </c>
      <c r="C47" s="3" t="s">
        <v>21</v>
      </c>
      <c r="D47" s="3" t="s">
        <v>22</v>
      </c>
      <c r="E47" s="3" t="s">
        <v>9</v>
      </c>
      <c r="F47" s="3" t="s">
        <v>160</v>
      </c>
      <c r="G47" s="3" t="s">
        <v>158</v>
      </c>
      <c r="H47" s="30">
        <f t="shared" si="0"/>
        <v>44</v>
      </c>
      <c r="I47" s="31">
        <f>VLOOKUP($A47,'Seed Base'!$A:$S,19,FALSE)</f>
        <v>47.915616236796289</v>
      </c>
      <c r="J47" s="4">
        <v>7</v>
      </c>
      <c r="K47" s="4">
        <v>6.5</v>
      </c>
      <c r="L47" s="4">
        <v>3</v>
      </c>
      <c r="M47" s="12">
        <v>650</v>
      </c>
      <c r="N47" s="4">
        <v>786.85567010309273</v>
      </c>
      <c r="O47" s="30">
        <f t="shared" si="1"/>
        <v>10</v>
      </c>
      <c r="P47" s="31">
        <f>VLOOKUP($A47,'Fert Base'!$A:$S,19,FALSE)</f>
        <v>78.198594264311083</v>
      </c>
      <c r="Q47" s="4">
        <v>4.8</v>
      </c>
      <c r="R47" s="4">
        <v>7</v>
      </c>
      <c r="S47" s="4">
        <v>3.5</v>
      </c>
      <c r="T47" s="12">
        <v>28</v>
      </c>
      <c r="U47" s="4">
        <v>82.474226804123703</v>
      </c>
      <c r="V47" s="30">
        <f t="shared" si="2"/>
        <v>48</v>
      </c>
      <c r="W47" s="31">
        <f>VLOOKUP($A47,'Mech Base'!$A:$Z,24,FALSE)</f>
        <v>33.027171102839688</v>
      </c>
      <c r="X47" s="4">
        <v>1</v>
      </c>
      <c r="Y47" s="4">
        <v>0</v>
      </c>
      <c r="Z47" s="4">
        <v>3.5</v>
      </c>
      <c r="AA47" s="12" t="s">
        <v>155</v>
      </c>
      <c r="AB47" s="4" t="s">
        <v>155</v>
      </c>
      <c r="AC47" s="12">
        <v>10</v>
      </c>
      <c r="AD47" s="4">
        <v>5.6102788110494979</v>
      </c>
      <c r="AE47" s="30">
        <f t="shared" si="3"/>
        <v>36</v>
      </c>
      <c r="AF47" s="31">
        <f>100*AVERAGE(IF(VLOOKUP(A47,'Data Gaps'!A:O,15,FALSE)="X",'EBA2017'!AH47/4,AVERAGE(AG47/5,AH47/4)),AVERAGE(AI47/5,AJ47/8),IF(VLOOKUP(A47,'Data Gaps'!A:O,15,FALSE)="X",'EBA2017'!AL47/7,AVERAGE(AK47/7,AL47/7)))</f>
        <v>45.94047619047619</v>
      </c>
      <c r="AG47" s="4">
        <v>3.55</v>
      </c>
      <c r="AH47" s="4">
        <v>1</v>
      </c>
      <c r="AI47" s="4">
        <v>4.25</v>
      </c>
      <c r="AJ47" s="4">
        <v>3</v>
      </c>
      <c r="AK47" s="4">
        <v>0</v>
      </c>
      <c r="AL47" s="4">
        <v>4</v>
      </c>
      <c r="AM47" s="30">
        <f t="shared" si="4"/>
        <v>20</v>
      </c>
      <c r="AN47" s="31">
        <f>VLOOKUP($A47,'Mark Base'!$A:$Z,21,FALSE)</f>
        <v>66.288581334030454</v>
      </c>
      <c r="AO47" s="4">
        <v>9.35</v>
      </c>
      <c r="AP47" s="4">
        <v>6</v>
      </c>
      <c r="AQ47" s="4">
        <v>4.5</v>
      </c>
      <c r="AR47" s="12">
        <v>2</v>
      </c>
      <c r="AS47" s="12">
        <v>2</v>
      </c>
      <c r="AT47" s="4">
        <v>1.4203475967273052</v>
      </c>
      <c r="AU47" s="30">
        <f t="shared" si="5"/>
        <v>36</v>
      </c>
      <c r="AV47" s="31">
        <f t="shared" si="6"/>
        <v>51.56355074050245</v>
      </c>
      <c r="AW47" s="4">
        <v>8.0000000000000018</v>
      </c>
      <c r="AX47" s="4">
        <v>7</v>
      </c>
      <c r="AY47" s="4">
        <v>4.5244183960076585</v>
      </c>
      <c r="AZ47" s="4">
        <v>4</v>
      </c>
      <c r="BA47" s="12" t="s">
        <v>155</v>
      </c>
      <c r="BB47" s="4" t="s">
        <v>155</v>
      </c>
      <c r="BC47" s="30">
        <f t="shared" si="7"/>
        <v>23</v>
      </c>
      <c r="BD47" s="31">
        <f t="shared" si="8"/>
        <v>61.982758620689658</v>
      </c>
      <c r="BE47" s="4">
        <v>20</v>
      </c>
      <c r="BF47" s="4">
        <v>11</v>
      </c>
      <c r="BG47" s="30">
        <f t="shared" si="9"/>
        <v>43</v>
      </c>
      <c r="BH47" s="31">
        <f t="shared" si="10"/>
        <v>44.444444444444443</v>
      </c>
      <c r="BI47" s="4">
        <v>4</v>
      </c>
    </row>
    <row r="48" spans="1:61" x14ac:dyDescent="0.2">
      <c r="A48" s="2" t="s">
        <v>100</v>
      </c>
      <c r="B48" s="3" t="s">
        <v>101</v>
      </c>
      <c r="C48" s="3" t="s">
        <v>16</v>
      </c>
      <c r="D48" s="3" t="s">
        <v>17</v>
      </c>
      <c r="E48" s="3" t="s">
        <v>18</v>
      </c>
      <c r="F48" s="3" t="s">
        <v>161</v>
      </c>
      <c r="G48" s="3" t="s">
        <v>158</v>
      </c>
      <c r="H48" s="30">
        <f t="shared" si="0"/>
        <v>49</v>
      </c>
      <c r="I48" s="31">
        <f>VLOOKUP($A48,'Seed Base'!$A:$S,19,FALSE)</f>
        <v>45.416666666666664</v>
      </c>
      <c r="J48" s="4">
        <v>4</v>
      </c>
      <c r="K48" s="4">
        <v>8</v>
      </c>
      <c r="L48" s="4">
        <v>5</v>
      </c>
      <c r="M48" s="12" t="s">
        <v>154</v>
      </c>
      <c r="N48" s="4" t="s">
        <v>154</v>
      </c>
      <c r="O48" s="30">
        <f t="shared" si="1"/>
        <v>55</v>
      </c>
      <c r="P48" s="31">
        <f>VLOOKUP($A48,'Fert Base'!$A:$S,19,FALSE)</f>
        <v>25</v>
      </c>
      <c r="Q48" s="4">
        <v>0</v>
      </c>
      <c r="R48" s="4">
        <v>3</v>
      </c>
      <c r="S48" s="4">
        <v>3.5</v>
      </c>
      <c r="T48" s="12" t="s">
        <v>155</v>
      </c>
      <c r="U48" s="4" t="s">
        <v>155</v>
      </c>
      <c r="V48" s="30">
        <f t="shared" si="2"/>
        <v>55</v>
      </c>
      <c r="W48" s="31">
        <f>VLOOKUP($A48,'Mech Base'!$A:$Z,24,FALSE)</f>
        <v>20.833333333333336</v>
      </c>
      <c r="X48" s="4">
        <v>0</v>
      </c>
      <c r="Y48" s="4">
        <v>0.33333333333333326</v>
      </c>
      <c r="Z48" s="4">
        <v>5</v>
      </c>
      <c r="AA48" s="12" t="s">
        <v>155</v>
      </c>
      <c r="AB48" s="4" t="s">
        <v>155</v>
      </c>
      <c r="AC48" s="12" t="s">
        <v>155</v>
      </c>
      <c r="AD48" s="4" t="s">
        <v>155</v>
      </c>
      <c r="AE48" s="30">
        <f t="shared" si="3"/>
        <v>45</v>
      </c>
      <c r="AF48" s="31">
        <f>100*AVERAGE(IF(VLOOKUP(A48,'Data Gaps'!A:O,15,FALSE)="X",'EBA2017'!AH48/4,AVERAGE(AG48/5,AH48/4)),AVERAGE(AI48/5,AJ48/8),IF(VLOOKUP(A48,'Data Gaps'!A:O,15,FALSE)="X",'EBA2017'!AL48/7,AVERAGE(AK48/7,AL48/7)))</f>
        <v>43.00595238095238</v>
      </c>
      <c r="AG48" s="4">
        <v>0</v>
      </c>
      <c r="AH48" s="4">
        <v>3.75</v>
      </c>
      <c r="AI48" s="4">
        <v>0</v>
      </c>
      <c r="AJ48" s="4">
        <v>4</v>
      </c>
      <c r="AK48" s="4">
        <v>4</v>
      </c>
      <c r="AL48" s="4">
        <v>4</v>
      </c>
      <c r="AM48" s="30">
        <f t="shared" si="4"/>
        <v>39</v>
      </c>
      <c r="AN48" s="31">
        <f>VLOOKUP($A48,'Mark Base'!$A:$Z,21,FALSE)</f>
        <v>53.109428745051176</v>
      </c>
      <c r="AO48" s="4">
        <v>8</v>
      </c>
      <c r="AP48" s="4">
        <v>2</v>
      </c>
      <c r="AQ48" s="4">
        <v>5</v>
      </c>
      <c r="AR48" s="12">
        <v>1</v>
      </c>
      <c r="AS48" s="12">
        <v>2</v>
      </c>
      <c r="AT48" s="4">
        <v>2.3976011608253094</v>
      </c>
      <c r="AU48" s="30">
        <f t="shared" si="5"/>
        <v>17</v>
      </c>
      <c r="AV48" s="31">
        <f t="shared" si="6"/>
        <v>68.198093423545444</v>
      </c>
      <c r="AW48" s="4">
        <v>4.5000000000000009</v>
      </c>
      <c r="AX48" s="4">
        <v>2</v>
      </c>
      <c r="AY48" s="4">
        <v>9.5904046433012375</v>
      </c>
      <c r="AZ48" s="4">
        <v>5</v>
      </c>
      <c r="BA48" s="12">
        <v>1</v>
      </c>
      <c r="BB48" s="4">
        <v>9.5904046433012375</v>
      </c>
      <c r="BC48" s="30">
        <f t="shared" si="7"/>
        <v>39</v>
      </c>
      <c r="BD48" s="31">
        <f t="shared" si="8"/>
        <v>41.853448275862064</v>
      </c>
      <c r="BE48" s="4">
        <v>10.499999999999998</v>
      </c>
      <c r="BF48" s="4">
        <v>9.5</v>
      </c>
      <c r="BG48" s="30">
        <f t="shared" si="9"/>
        <v>43</v>
      </c>
      <c r="BH48" s="31">
        <f t="shared" si="10"/>
        <v>44.444444444444443</v>
      </c>
      <c r="BI48" s="4">
        <v>4</v>
      </c>
    </row>
    <row r="49" spans="1:61" x14ac:dyDescent="0.2">
      <c r="A49" s="2" t="s">
        <v>102</v>
      </c>
      <c r="B49" s="3" t="s">
        <v>103</v>
      </c>
      <c r="C49" s="3" t="s">
        <v>16</v>
      </c>
      <c r="D49" s="3" t="s">
        <v>17</v>
      </c>
      <c r="E49" s="3" t="s">
        <v>9</v>
      </c>
      <c r="F49" s="3" t="s">
        <v>160</v>
      </c>
      <c r="G49" s="3" t="s">
        <v>158</v>
      </c>
      <c r="H49" s="30">
        <f t="shared" si="0"/>
        <v>42</v>
      </c>
      <c r="I49" s="31">
        <f>VLOOKUP($A49,'Seed Base'!$A:$S,19,FALSE)</f>
        <v>48.816293763643287</v>
      </c>
      <c r="J49" s="4">
        <v>3</v>
      </c>
      <c r="K49" s="4">
        <v>5.5</v>
      </c>
      <c r="L49" s="4">
        <v>3</v>
      </c>
      <c r="M49" s="12">
        <v>367</v>
      </c>
      <c r="N49" s="4">
        <v>197.92738514189782</v>
      </c>
      <c r="O49" s="30">
        <f t="shared" si="1"/>
        <v>31</v>
      </c>
      <c r="P49" s="31">
        <f>VLOOKUP($A49,'Fert Base'!$A:$S,19,FALSE)</f>
        <v>57.788374339111613</v>
      </c>
      <c r="Q49" s="4">
        <v>4</v>
      </c>
      <c r="R49" s="4">
        <v>3</v>
      </c>
      <c r="S49" s="4">
        <v>3</v>
      </c>
      <c r="T49" s="12">
        <v>225</v>
      </c>
      <c r="U49" s="4">
        <v>6.0367852468278835</v>
      </c>
      <c r="V49" s="30">
        <f t="shared" si="2"/>
        <v>16</v>
      </c>
      <c r="W49" s="31">
        <f>VLOOKUP($A49,'Mech Base'!$A:$Z,24,FALSE)</f>
        <v>63.066193613065003</v>
      </c>
      <c r="X49" s="4">
        <v>0.5</v>
      </c>
      <c r="Y49" s="4">
        <v>5.6666666666666679</v>
      </c>
      <c r="Z49" s="4">
        <v>5</v>
      </c>
      <c r="AA49" s="12">
        <v>105</v>
      </c>
      <c r="AB49" s="4">
        <v>98.963692570948908</v>
      </c>
      <c r="AC49" s="12">
        <v>14</v>
      </c>
      <c r="AD49" s="4">
        <v>9.8963692570948911</v>
      </c>
      <c r="AE49" s="30">
        <f t="shared" si="3"/>
        <v>22</v>
      </c>
      <c r="AF49" s="31">
        <f>100*AVERAGE(IF(VLOOKUP(A49,'Data Gaps'!A:O,15,FALSE)="X",'EBA2017'!AH49/4,AVERAGE(AG49/5,AH49/4)),AVERAGE(AI49/5,AJ49/8),IF(VLOOKUP(A49,'Data Gaps'!A:O,15,FALSE)="X",'EBA2017'!AL49/7,AVERAGE(AK49/7,AL49/7)))</f>
        <v>57.208333333333336</v>
      </c>
      <c r="AG49" s="4">
        <v>3.7250000000000001</v>
      </c>
      <c r="AH49" s="4">
        <v>3.75</v>
      </c>
      <c r="AI49" s="4">
        <v>0</v>
      </c>
      <c r="AJ49" s="4">
        <v>6</v>
      </c>
      <c r="AK49" s="4">
        <v>4</v>
      </c>
      <c r="AL49" s="4">
        <v>3</v>
      </c>
      <c r="AM49" s="30">
        <f t="shared" si="4"/>
        <v>48</v>
      </c>
      <c r="AN49" s="31">
        <f>VLOOKUP($A49,'Mark Base'!$A:$Z,21,FALSE)</f>
        <v>49.236742150358239</v>
      </c>
      <c r="AO49" s="4">
        <v>7</v>
      </c>
      <c r="AP49" s="4">
        <v>2</v>
      </c>
      <c r="AQ49" s="4">
        <v>4</v>
      </c>
      <c r="AR49" s="12">
        <v>2</v>
      </c>
      <c r="AS49" s="12">
        <v>7</v>
      </c>
      <c r="AT49" s="4">
        <v>0.5443003091402191</v>
      </c>
      <c r="AU49" s="30">
        <f t="shared" si="5"/>
        <v>41</v>
      </c>
      <c r="AV49" s="31">
        <f t="shared" si="6"/>
        <v>46.298349674856702</v>
      </c>
      <c r="AW49" s="4">
        <v>3.5</v>
      </c>
      <c r="AX49" s="4">
        <v>1</v>
      </c>
      <c r="AY49" s="4">
        <v>1.3854916959932846</v>
      </c>
      <c r="AZ49" s="4">
        <v>5</v>
      </c>
      <c r="BA49" s="12" t="s">
        <v>154</v>
      </c>
      <c r="BB49" s="4" t="s">
        <v>154</v>
      </c>
      <c r="BC49" s="30">
        <f t="shared" si="7"/>
        <v>46</v>
      </c>
      <c r="BD49" s="31">
        <f t="shared" si="8"/>
        <v>32.025862068965516</v>
      </c>
      <c r="BE49" s="4">
        <v>13.5</v>
      </c>
      <c r="BF49" s="4">
        <v>3.5</v>
      </c>
      <c r="BG49" s="30">
        <f t="shared" si="9"/>
        <v>37</v>
      </c>
      <c r="BH49" s="31">
        <f t="shared" si="10"/>
        <v>50</v>
      </c>
      <c r="BI49" s="4">
        <v>4.5</v>
      </c>
    </row>
    <row r="50" spans="1:61" x14ac:dyDescent="0.2">
      <c r="A50" s="2" t="s">
        <v>104</v>
      </c>
      <c r="B50" s="3" t="s">
        <v>105</v>
      </c>
      <c r="C50" s="3" t="s">
        <v>21</v>
      </c>
      <c r="D50" s="3" t="s">
        <v>22</v>
      </c>
      <c r="E50" s="3" t="s">
        <v>25</v>
      </c>
      <c r="F50" s="3" t="s">
        <v>160</v>
      </c>
      <c r="G50" s="3" t="s">
        <v>163</v>
      </c>
      <c r="H50" s="30">
        <f t="shared" si="0"/>
        <v>10</v>
      </c>
      <c r="I50" s="31">
        <f>VLOOKUP($A50,'Seed Base'!$A:$S,19,FALSE)</f>
        <v>72.485860537311481</v>
      </c>
      <c r="J50" s="4">
        <v>7</v>
      </c>
      <c r="K50" s="4">
        <v>5</v>
      </c>
      <c r="L50" s="4">
        <v>8</v>
      </c>
      <c r="M50" s="12">
        <v>357</v>
      </c>
      <c r="N50" s="4">
        <v>21.337112931525208</v>
      </c>
      <c r="O50" s="30">
        <f t="shared" si="1"/>
        <v>52</v>
      </c>
      <c r="P50" s="31">
        <f>VLOOKUP($A50,'Fert Base'!$A:$S,19,FALSE)</f>
        <v>30.357142857142854</v>
      </c>
      <c r="Q50" s="4">
        <v>0</v>
      </c>
      <c r="R50" s="4">
        <v>2.5</v>
      </c>
      <c r="S50" s="4">
        <v>6</v>
      </c>
      <c r="T50" s="12" t="s">
        <v>155</v>
      </c>
      <c r="U50" s="4" t="s">
        <v>155</v>
      </c>
      <c r="V50" s="30">
        <f t="shared" si="2"/>
        <v>58</v>
      </c>
      <c r="W50" s="31">
        <f>VLOOKUP($A50,'Mech Base'!$A:$Z,24,FALSE)</f>
        <v>18.5</v>
      </c>
      <c r="X50" s="4">
        <v>0</v>
      </c>
      <c r="Y50" s="4">
        <v>1</v>
      </c>
      <c r="Z50" s="4">
        <v>4</v>
      </c>
      <c r="AA50" s="12" t="s">
        <v>155</v>
      </c>
      <c r="AB50" s="4" t="s">
        <v>155</v>
      </c>
      <c r="AC50" s="12" t="s">
        <v>155</v>
      </c>
      <c r="AD50" s="4" t="s">
        <v>155</v>
      </c>
      <c r="AE50" s="30">
        <f t="shared" si="3"/>
        <v>2</v>
      </c>
      <c r="AF50" s="31">
        <f>100*AVERAGE(IF(VLOOKUP(A50,'Data Gaps'!A:O,15,FALSE)="X",'EBA2017'!AH50/4,AVERAGE(AG50/5,AH50/4)),AVERAGE(AI50/5,AJ50/8),IF(VLOOKUP(A50,'Data Gaps'!A:O,15,FALSE)="X",'EBA2017'!AL50/7,AVERAGE(AK50/7,AL50/7)))</f>
        <v>86.670634920634924</v>
      </c>
      <c r="AG50" s="4">
        <v>4.2750000000000004</v>
      </c>
      <c r="AH50" s="4">
        <v>3.6666666666666661</v>
      </c>
      <c r="AI50" s="4">
        <v>5</v>
      </c>
      <c r="AJ50" s="4">
        <v>8</v>
      </c>
      <c r="AK50" s="4">
        <v>7</v>
      </c>
      <c r="AL50" s="4">
        <v>3</v>
      </c>
      <c r="AM50" s="30">
        <f t="shared" si="4"/>
        <v>27</v>
      </c>
      <c r="AN50" s="31">
        <f>VLOOKUP($A50,'Mark Base'!$A:$Z,21,FALSE)</f>
        <v>61.284155787865998</v>
      </c>
      <c r="AO50" s="4">
        <v>9.15</v>
      </c>
      <c r="AP50" s="4">
        <v>5</v>
      </c>
      <c r="AQ50" s="4">
        <v>6</v>
      </c>
      <c r="AR50" s="12">
        <v>2</v>
      </c>
      <c r="AS50" s="12">
        <v>11</v>
      </c>
      <c r="AT50" s="4">
        <v>0.69350935350720011</v>
      </c>
      <c r="AU50" s="30">
        <f t="shared" si="5"/>
        <v>5</v>
      </c>
      <c r="AV50" s="31">
        <f t="shared" si="6"/>
        <v>84.752214283223211</v>
      </c>
      <c r="AW50" s="4">
        <v>7.4999999999999991</v>
      </c>
      <c r="AX50" s="4">
        <v>3</v>
      </c>
      <c r="AY50" s="4">
        <v>0.38137696119632913</v>
      </c>
      <c r="AZ50" s="4">
        <v>7.0000000000000009</v>
      </c>
      <c r="BA50" s="12">
        <v>7</v>
      </c>
      <c r="BB50" s="4">
        <v>0</v>
      </c>
      <c r="BC50" s="30">
        <f t="shared" si="7"/>
        <v>11</v>
      </c>
      <c r="BD50" s="31">
        <f t="shared" si="8"/>
        <v>73.793103448275872</v>
      </c>
      <c r="BE50" s="4">
        <v>22.500000000000004</v>
      </c>
      <c r="BF50" s="4">
        <v>14</v>
      </c>
      <c r="BG50" s="30">
        <f t="shared" si="9"/>
        <v>15</v>
      </c>
      <c r="BH50" s="31">
        <f t="shared" si="10"/>
        <v>72.222222222222214</v>
      </c>
      <c r="BI50" s="4">
        <v>6.4999999999999991</v>
      </c>
    </row>
    <row r="51" spans="1:61" x14ac:dyDescent="0.2">
      <c r="A51" s="2" t="s">
        <v>106</v>
      </c>
      <c r="B51" s="3" t="s">
        <v>107</v>
      </c>
      <c r="C51" s="3" t="s">
        <v>32</v>
      </c>
      <c r="D51" s="3" t="s">
        <v>33</v>
      </c>
      <c r="E51" s="3" t="s">
        <v>9</v>
      </c>
      <c r="F51" s="3" t="s">
        <v>159</v>
      </c>
      <c r="G51" s="3" t="s">
        <v>158</v>
      </c>
      <c r="H51" s="30">
        <f t="shared" si="0"/>
        <v>11</v>
      </c>
      <c r="I51" s="31">
        <f>VLOOKUP($A51,'Seed Base'!$A:$S,19,FALSE)</f>
        <v>72.278132950309853</v>
      </c>
      <c r="J51" s="4">
        <v>10</v>
      </c>
      <c r="K51" s="4">
        <v>6.5</v>
      </c>
      <c r="L51" s="4">
        <v>5.25</v>
      </c>
      <c r="M51" s="12">
        <v>570</v>
      </c>
      <c r="N51" s="4">
        <v>1.5066700924021341</v>
      </c>
      <c r="O51" s="30">
        <f t="shared" si="1"/>
        <v>21</v>
      </c>
      <c r="P51" s="31">
        <f>VLOOKUP($A51,'Fert Base'!$A:$S,19,FALSE)</f>
        <v>67.518890114813829</v>
      </c>
      <c r="Q51" s="4">
        <v>4.4000000000000004</v>
      </c>
      <c r="R51" s="4">
        <v>4.5000000000000009</v>
      </c>
      <c r="S51" s="4">
        <v>3.5</v>
      </c>
      <c r="T51" s="12">
        <v>134</v>
      </c>
      <c r="U51" s="4">
        <v>9.2283543159630703</v>
      </c>
      <c r="V51" s="30">
        <f t="shared" si="2"/>
        <v>13</v>
      </c>
      <c r="W51" s="31">
        <f>VLOOKUP($A51,'Mech Base'!$A:$Z,24,FALSE)</f>
        <v>68.100200742205814</v>
      </c>
      <c r="X51" s="4">
        <v>2</v>
      </c>
      <c r="Y51" s="4">
        <v>5.1666666666666661</v>
      </c>
      <c r="Z51" s="4">
        <v>3</v>
      </c>
      <c r="AA51" s="12">
        <v>30</v>
      </c>
      <c r="AB51" s="4">
        <v>12.555584103351118</v>
      </c>
      <c r="AC51" s="12">
        <v>10.5</v>
      </c>
      <c r="AD51" s="4">
        <v>3.0133401848042678E-2</v>
      </c>
      <c r="AE51" s="30">
        <f t="shared" si="3"/>
        <v>33</v>
      </c>
      <c r="AF51" s="31">
        <f>100*AVERAGE(IF(VLOOKUP(A51,'Data Gaps'!A:O,15,FALSE)="X",'EBA2017'!AH51/4,AVERAGE(AG51/5,AH51/4)),AVERAGE(AI51/5,AJ51/8),IF(VLOOKUP(A51,'Data Gaps'!A:O,15,FALSE)="X",'EBA2017'!AL51/7,AVERAGE(AK51/7,AL51/7)))</f>
        <v>48.382936507936506</v>
      </c>
      <c r="AG51" s="4">
        <v>0</v>
      </c>
      <c r="AH51" s="4">
        <v>3.5833333333333339</v>
      </c>
      <c r="AI51" s="4">
        <v>4.5</v>
      </c>
      <c r="AJ51" s="4">
        <v>2</v>
      </c>
      <c r="AK51" s="4">
        <v>0</v>
      </c>
      <c r="AL51" s="4">
        <v>6</v>
      </c>
      <c r="AM51" s="30">
        <f t="shared" si="4"/>
        <v>38</v>
      </c>
      <c r="AN51" s="31">
        <f>VLOOKUP($A51,'Mark Base'!$A:$Z,21,FALSE)</f>
        <v>53.466253588388504</v>
      </c>
      <c r="AO51" s="4">
        <v>5.5</v>
      </c>
      <c r="AP51" s="4">
        <v>2</v>
      </c>
      <c r="AQ51" s="4">
        <v>5.5</v>
      </c>
      <c r="AR51" s="12">
        <v>1</v>
      </c>
      <c r="AS51" s="12">
        <v>2</v>
      </c>
      <c r="AT51" s="4">
        <v>2.5111168206702238E-2</v>
      </c>
      <c r="AU51" s="30">
        <f t="shared" si="5"/>
        <v>47</v>
      </c>
      <c r="AV51" s="31">
        <f t="shared" si="6"/>
        <v>37.406991216120659</v>
      </c>
      <c r="AW51" s="4">
        <v>5.5</v>
      </c>
      <c r="AX51" s="4">
        <v>235</v>
      </c>
      <c r="AY51" s="4">
        <v>3.7666752310053355</v>
      </c>
      <c r="AZ51" s="4">
        <v>5</v>
      </c>
      <c r="BA51" s="12" t="s">
        <v>154</v>
      </c>
      <c r="BB51" s="4" t="s">
        <v>154</v>
      </c>
      <c r="BC51" s="30">
        <f t="shared" si="7"/>
        <v>17</v>
      </c>
      <c r="BD51" s="31">
        <f t="shared" si="8"/>
        <v>67.284482758620683</v>
      </c>
      <c r="BE51" s="4">
        <v>18</v>
      </c>
      <c r="BF51" s="4">
        <v>14.5</v>
      </c>
      <c r="BG51" s="30">
        <f t="shared" si="9"/>
        <v>37</v>
      </c>
      <c r="BH51" s="31">
        <f t="shared" si="10"/>
        <v>50</v>
      </c>
      <c r="BI51" s="4">
        <v>4.5</v>
      </c>
    </row>
    <row r="52" spans="1:61" x14ac:dyDescent="0.2">
      <c r="A52" s="2" t="s">
        <v>108</v>
      </c>
      <c r="B52" s="3" t="s">
        <v>109</v>
      </c>
      <c r="C52" s="3" t="s">
        <v>38</v>
      </c>
      <c r="D52" s="3" t="s">
        <v>39</v>
      </c>
      <c r="E52" s="3" t="s">
        <v>40</v>
      </c>
      <c r="F52" s="3" t="s">
        <v>162</v>
      </c>
      <c r="G52" s="3" t="s">
        <v>163</v>
      </c>
      <c r="H52" s="30">
        <f t="shared" si="0"/>
        <v>5</v>
      </c>
      <c r="I52" s="31">
        <f>VLOOKUP($A52,'Seed Base'!$A:$S,19,FALSE)</f>
        <v>81.522870719602935</v>
      </c>
      <c r="J52" s="4">
        <v>10</v>
      </c>
      <c r="K52" s="4">
        <v>5.5</v>
      </c>
      <c r="L52" s="4">
        <v>11.5</v>
      </c>
      <c r="M52" s="12">
        <v>699</v>
      </c>
      <c r="N52" s="4">
        <v>15.178536439332804</v>
      </c>
      <c r="O52" s="30">
        <f t="shared" si="1"/>
        <v>2</v>
      </c>
      <c r="P52" s="31">
        <f>VLOOKUP($A52,'Fert Base'!$A:$S,19,FALSE)</f>
        <v>93.760573194726334</v>
      </c>
      <c r="Q52" s="4">
        <v>7</v>
      </c>
      <c r="R52" s="4">
        <v>6.5</v>
      </c>
      <c r="S52" s="4">
        <v>6</v>
      </c>
      <c r="T52" s="12">
        <v>60</v>
      </c>
      <c r="U52" s="4">
        <v>15.749043065292748</v>
      </c>
      <c r="V52" s="30">
        <f t="shared" si="2"/>
        <v>1</v>
      </c>
      <c r="W52" s="31">
        <f>VLOOKUP($A52,'Mech Base'!$A:$Z,24,FALSE)</f>
        <v>91.041844082478292</v>
      </c>
      <c r="X52" s="4">
        <v>5</v>
      </c>
      <c r="Y52" s="4">
        <v>7</v>
      </c>
      <c r="Z52" s="4">
        <v>5</v>
      </c>
      <c r="AA52" s="12">
        <v>60</v>
      </c>
      <c r="AB52" s="4">
        <v>220.48660291409848</v>
      </c>
      <c r="AC52" s="12">
        <v>2</v>
      </c>
      <c r="AD52" s="4">
        <v>0.43716982832179735</v>
      </c>
      <c r="AE52" s="30">
        <f t="shared" si="3"/>
        <v>21</v>
      </c>
      <c r="AF52" s="31">
        <f>100*AVERAGE(IF(VLOOKUP(A52,'Data Gaps'!A:O,15,FALSE)="X",'EBA2017'!AH52/4,AVERAGE(AG52/5,AH52/4)),AVERAGE(AI52/5,AJ52/8),IF(VLOOKUP(A52,'Data Gaps'!A:O,15,FALSE)="X",'EBA2017'!AL52/7,AVERAGE(AK52/7,AL52/7)))</f>
        <v>58.077380952380949</v>
      </c>
      <c r="AG52" s="4">
        <v>4.0750000000000002</v>
      </c>
      <c r="AH52" s="4">
        <v>3.75</v>
      </c>
      <c r="AI52" s="4">
        <v>0</v>
      </c>
      <c r="AJ52" s="4">
        <v>7</v>
      </c>
      <c r="AK52" s="4">
        <v>0</v>
      </c>
      <c r="AL52" s="4">
        <v>6</v>
      </c>
      <c r="AM52" s="30">
        <f t="shared" si="4"/>
        <v>7</v>
      </c>
      <c r="AN52" s="31">
        <f>VLOOKUP($A52,'Mark Base'!$A:$Z,21,FALSE)</f>
        <v>78.641826923076934</v>
      </c>
      <c r="AO52" s="4">
        <v>8.8000000000000007</v>
      </c>
      <c r="AP52" s="4">
        <v>7.75</v>
      </c>
      <c r="AQ52" s="4">
        <v>4.5</v>
      </c>
      <c r="AR52" s="12">
        <v>0</v>
      </c>
      <c r="AS52" s="12">
        <v>0</v>
      </c>
      <c r="AT52" s="4">
        <v>0</v>
      </c>
      <c r="AU52" s="30">
        <f t="shared" si="5"/>
        <v>24</v>
      </c>
      <c r="AV52" s="31">
        <f t="shared" si="6"/>
        <v>65.366732649074194</v>
      </c>
      <c r="AW52" s="4">
        <v>8.8333333333333321</v>
      </c>
      <c r="AX52" s="4">
        <v>90</v>
      </c>
      <c r="AY52" s="4">
        <v>1.7486793132871894</v>
      </c>
      <c r="AZ52" s="4">
        <v>9</v>
      </c>
      <c r="BA52" s="12">
        <v>90</v>
      </c>
      <c r="BB52" s="4">
        <v>19.410340377487799</v>
      </c>
      <c r="BC52" s="30">
        <f t="shared" si="7"/>
        <v>13</v>
      </c>
      <c r="BD52" s="31">
        <f t="shared" si="8"/>
        <v>73.40517241379311</v>
      </c>
      <c r="BE52" s="4">
        <v>23</v>
      </c>
      <c r="BF52" s="4">
        <v>13.5</v>
      </c>
      <c r="BG52" s="30">
        <f t="shared" si="9"/>
        <v>1</v>
      </c>
      <c r="BH52" s="31">
        <f t="shared" si="10"/>
        <v>100</v>
      </c>
      <c r="BI52" s="4">
        <v>9</v>
      </c>
    </row>
    <row r="53" spans="1:61" x14ac:dyDescent="0.2">
      <c r="A53" s="2" t="s">
        <v>110</v>
      </c>
      <c r="B53" s="3" t="s">
        <v>111</v>
      </c>
      <c r="C53" s="3" t="s">
        <v>7</v>
      </c>
      <c r="D53" s="3" t="s">
        <v>8</v>
      </c>
      <c r="E53" s="3" t="s">
        <v>25</v>
      </c>
      <c r="F53" s="3" t="s">
        <v>162</v>
      </c>
      <c r="G53" s="3" t="s">
        <v>163</v>
      </c>
      <c r="H53" s="30">
        <f t="shared" si="0"/>
        <v>6</v>
      </c>
      <c r="I53" s="31">
        <f>VLOOKUP($A53,'Seed Base'!$A:$S,19,FALSE)</f>
        <v>81.110089378781979</v>
      </c>
      <c r="J53" s="4">
        <v>10</v>
      </c>
      <c r="K53" s="4">
        <v>5.5</v>
      </c>
      <c r="L53" s="4">
        <v>11</v>
      </c>
      <c r="M53" s="12">
        <v>654</v>
      </c>
      <c r="N53" s="4">
        <v>23.156341660470691</v>
      </c>
      <c r="O53" s="30">
        <f t="shared" si="1"/>
        <v>27</v>
      </c>
      <c r="P53" s="31">
        <f>VLOOKUP($A53,'Fert Base'!$A:$S,19,FALSE)</f>
        <v>64.673090900552992</v>
      </c>
      <c r="Q53" s="4">
        <v>4.8</v>
      </c>
      <c r="R53" s="4">
        <v>6.5</v>
      </c>
      <c r="S53" s="4">
        <v>3</v>
      </c>
      <c r="T53" s="12">
        <v>1205</v>
      </c>
      <c r="U53" s="4">
        <v>46.284200735873149</v>
      </c>
      <c r="V53" s="30">
        <f t="shared" si="2"/>
        <v>3</v>
      </c>
      <c r="W53" s="31">
        <f>VLOOKUP($A53,'Mech Base'!$A:$Z,24,FALSE)</f>
        <v>88.816486430584732</v>
      </c>
      <c r="X53" s="4">
        <v>5</v>
      </c>
      <c r="Y53" s="4">
        <v>8</v>
      </c>
      <c r="Z53" s="4">
        <v>5</v>
      </c>
      <c r="AA53" s="12">
        <v>30</v>
      </c>
      <c r="AB53" s="4">
        <v>7.7053020092208628</v>
      </c>
      <c r="AC53" s="12">
        <v>30</v>
      </c>
      <c r="AD53" s="4">
        <v>0.42723877602344446</v>
      </c>
      <c r="AE53" s="30">
        <f t="shared" si="3"/>
        <v>11</v>
      </c>
      <c r="AF53" s="31">
        <f>100*AVERAGE(IF(VLOOKUP(A53,'Data Gaps'!A:O,15,FALSE)="X",'EBA2017'!AH53/4,AVERAGE(AG53/5,AH53/4)),AVERAGE(AI53/5,AJ53/8),IF(VLOOKUP(A53,'Data Gaps'!A:O,15,FALSE)="X",'EBA2017'!AL53/7,AVERAGE(AK53/7,AL53/7)))</f>
        <v>72.410714285714278</v>
      </c>
      <c r="AG53" s="4">
        <v>3.375</v>
      </c>
      <c r="AH53" s="4">
        <v>3.75</v>
      </c>
      <c r="AI53" s="4">
        <v>5</v>
      </c>
      <c r="AJ53" s="4">
        <v>7</v>
      </c>
      <c r="AK53" s="4">
        <v>0</v>
      </c>
      <c r="AL53" s="4">
        <v>6</v>
      </c>
      <c r="AM53" s="30">
        <f t="shared" si="4"/>
        <v>12</v>
      </c>
      <c r="AN53" s="31">
        <f>VLOOKUP($A53,'Mark Base'!$A:$Z,21,FALSE)</f>
        <v>73.239850427350419</v>
      </c>
      <c r="AO53" s="4">
        <v>7.3</v>
      </c>
      <c r="AP53" s="4">
        <v>6.5</v>
      </c>
      <c r="AQ53" s="4">
        <v>5</v>
      </c>
      <c r="AR53" s="12">
        <v>0</v>
      </c>
      <c r="AS53" s="12">
        <v>0</v>
      </c>
      <c r="AT53" s="4">
        <v>0</v>
      </c>
      <c r="AU53" s="30">
        <f t="shared" si="5"/>
        <v>2</v>
      </c>
      <c r="AV53" s="31">
        <f t="shared" si="6"/>
        <v>90.959497307168078</v>
      </c>
      <c r="AW53" s="4">
        <v>9.8333333333333321</v>
      </c>
      <c r="AX53" s="4">
        <v>15</v>
      </c>
      <c r="AY53" s="4">
        <v>2.010870505817012</v>
      </c>
      <c r="AZ53" s="4">
        <v>9</v>
      </c>
      <c r="BA53" s="12">
        <v>15</v>
      </c>
      <c r="BB53" s="4">
        <v>2.010870505817012</v>
      </c>
      <c r="BC53" s="30">
        <f t="shared" si="7"/>
        <v>7</v>
      </c>
      <c r="BD53" s="31">
        <f t="shared" si="8"/>
        <v>80.905172413793096</v>
      </c>
      <c r="BE53" s="4">
        <v>23</v>
      </c>
      <c r="BF53" s="4">
        <v>16.5</v>
      </c>
      <c r="BG53" s="30">
        <f t="shared" si="9"/>
        <v>1</v>
      </c>
      <c r="BH53" s="31">
        <f t="shared" si="10"/>
        <v>100</v>
      </c>
      <c r="BI53" s="4">
        <v>9</v>
      </c>
    </row>
    <row r="54" spans="1:61" x14ac:dyDescent="0.2">
      <c r="A54" s="2" t="s">
        <v>112</v>
      </c>
      <c r="B54" s="3" t="s">
        <v>113</v>
      </c>
      <c r="C54" s="3" t="s">
        <v>7</v>
      </c>
      <c r="D54" s="3" t="s">
        <v>8</v>
      </c>
      <c r="E54" s="3" t="s">
        <v>25</v>
      </c>
      <c r="F54" s="3" t="s">
        <v>162</v>
      </c>
      <c r="G54" s="3" t="s">
        <v>163</v>
      </c>
      <c r="H54" s="30">
        <f t="shared" si="0"/>
        <v>18</v>
      </c>
      <c r="I54" s="31">
        <f>VLOOKUP($A54,'Seed Base'!$A:$S,19,FALSE)</f>
        <v>68.414487726787627</v>
      </c>
      <c r="J54" s="4">
        <v>9</v>
      </c>
      <c r="K54" s="4">
        <v>7</v>
      </c>
      <c r="L54" s="4">
        <v>4</v>
      </c>
      <c r="M54" s="12">
        <v>716</v>
      </c>
      <c r="N54" s="4">
        <v>0</v>
      </c>
      <c r="O54" s="30">
        <f t="shared" si="1"/>
        <v>19</v>
      </c>
      <c r="P54" s="31">
        <f>VLOOKUP($A54,'Fert Base'!$A:$S,19,FALSE)</f>
        <v>69.17653385451105</v>
      </c>
      <c r="Q54" s="4">
        <v>4.8</v>
      </c>
      <c r="R54" s="4">
        <v>3</v>
      </c>
      <c r="S54" s="4">
        <v>6</v>
      </c>
      <c r="T54" s="12">
        <v>330</v>
      </c>
      <c r="U54" s="4">
        <v>59.586683385016059</v>
      </c>
      <c r="V54" s="30">
        <f t="shared" si="2"/>
        <v>12</v>
      </c>
      <c r="W54" s="31">
        <f>VLOOKUP($A54,'Mech Base'!$A:$Z,24,FALSE)</f>
        <v>69.081131989787735</v>
      </c>
      <c r="X54" s="4">
        <v>3</v>
      </c>
      <c r="Y54" s="4">
        <v>6.1666666666666661</v>
      </c>
      <c r="Z54" s="4">
        <v>5</v>
      </c>
      <c r="AA54" s="12">
        <v>189</v>
      </c>
      <c r="AB54" s="4">
        <v>558.6251567345256</v>
      </c>
      <c r="AC54" s="12">
        <v>5</v>
      </c>
      <c r="AD54" s="4">
        <v>0.43758970610871162</v>
      </c>
      <c r="AE54" s="30">
        <f t="shared" si="3"/>
        <v>38</v>
      </c>
      <c r="AF54" s="31">
        <f>100*AVERAGE(IF(VLOOKUP(A54,'Data Gaps'!A:O,15,FALSE)="X",'EBA2017'!AH54/4,AVERAGE(AG54/5,AH54/4)),AVERAGE(AI54/5,AJ54/8),IF(VLOOKUP(A54,'Data Gaps'!A:O,15,FALSE)="X",'EBA2017'!AL54/7,AVERAGE(AK54/7,AL54/7)))</f>
        <v>45.773809523809518</v>
      </c>
      <c r="AG54" s="4">
        <v>3.625</v>
      </c>
      <c r="AH54" s="4">
        <v>1</v>
      </c>
      <c r="AI54" s="4">
        <v>3.5</v>
      </c>
      <c r="AJ54" s="4">
        <v>4</v>
      </c>
      <c r="AK54" s="4">
        <v>0</v>
      </c>
      <c r="AL54" s="4">
        <v>4</v>
      </c>
      <c r="AM54" s="30">
        <f t="shared" si="4"/>
        <v>18</v>
      </c>
      <c r="AN54" s="31">
        <f>VLOOKUP($A54,'Mark Base'!$A:$Z,21,FALSE)</f>
        <v>68.111196429992447</v>
      </c>
      <c r="AO54" s="4">
        <v>7.8</v>
      </c>
      <c r="AP54" s="4">
        <v>6.5</v>
      </c>
      <c r="AQ54" s="4">
        <v>7</v>
      </c>
      <c r="AR54" s="12">
        <v>4</v>
      </c>
      <c r="AS54" s="12">
        <v>4</v>
      </c>
      <c r="AT54" s="4">
        <v>0.17727038307042275</v>
      </c>
      <c r="AU54" s="30">
        <f t="shared" si="5"/>
        <v>38</v>
      </c>
      <c r="AV54" s="31">
        <f t="shared" si="6"/>
        <v>47.209249448747684</v>
      </c>
      <c r="AW54" s="4">
        <v>3.6666666666666661</v>
      </c>
      <c r="AX54" s="4" t="s">
        <v>155</v>
      </c>
      <c r="AY54" s="4" t="s">
        <v>155</v>
      </c>
      <c r="AZ54" s="4">
        <v>5</v>
      </c>
      <c r="BA54" s="12">
        <v>1</v>
      </c>
      <c r="BB54" s="4">
        <v>6.2621880069940322E-2</v>
      </c>
      <c r="BC54" s="30">
        <f t="shared" si="7"/>
        <v>15</v>
      </c>
      <c r="BD54" s="31">
        <f t="shared" si="8"/>
        <v>70.732758620689665</v>
      </c>
      <c r="BE54" s="4">
        <v>20</v>
      </c>
      <c r="BF54" s="4">
        <v>14.5</v>
      </c>
      <c r="BG54" s="30">
        <f t="shared" si="9"/>
        <v>15</v>
      </c>
      <c r="BH54" s="31">
        <f t="shared" si="10"/>
        <v>72.222222222222214</v>
      </c>
      <c r="BI54" s="4">
        <v>6.4999999999999991</v>
      </c>
    </row>
    <row r="55" spans="1:61" x14ac:dyDescent="0.2">
      <c r="A55" s="2" t="s">
        <v>114</v>
      </c>
      <c r="B55" s="3" t="s">
        <v>115</v>
      </c>
      <c r="C55" s="3" t="s">
        <v>16</v>
      </c>
      <c r="D55" s="3" t="s">
        <v>17</v>
      </c>
      <c r="E55" s="3" t="s">
        <v>18</v>
      </c>
      <c r="F55" s="3" t="s">
        <v>160</v>
      </c>
      <c r="G55" s="3" t="s">
        <v>163</v>
      </c>
      <c r="H55" s="30">
        <f t="shared" si="0"/>
        <v>60</v>
      </c>
      <c r="I55" s="31">
        <f>VLOOKUP($A55,'Seed Base'!$A:$S,19,FALSE)</f>
        <v>20.208333333333332</v>
      </c>
      <c r="J55" s="4">
        <v>6</v>
      </c>
      <c r="K55" s="4">
        <v>1</v>
      </c>
      <c r="L55" s="4">
        <v>1</v>
      </c>
      <c r="M55" s="12" t="s">
        <v>154</v>
      </c>
      <c r="N55" s="4" t="s">
        <v>154</v>
      </c>
      <c r="O55" s="30">
        <f t="shared" si="1"/>
        <v>38</v>
      </c>
      <c r="P55" s="31">
        <f>VLOOKUP($A55,'Fert Base'!$A:$S,19,FALSE)</f>
        <v>52.582211711364209</v>
      </c>
      <c r="Q55" s="4">
        <v>1.9</v>
      </c>
      <c r="R55" s="4">
        <v>4</v>
      </c>
      <c r="S55" s="4">
        <v>4.5000000000000009</v>
      </c>
      <c r="T55" s="12">
        <v>730</v>
      </c>
      <c r="U55" s="4">
        <v>2.0225820039564324</v>
      </c>
      <c r="V55" s="30">
        <f t="shared" si="2"/>
        <v>41</v>
      </c>
      <c r="W55" s="31">
        <f>VLOOKUP($A55,'Mech Base'!$A:$Z,24,FALSE)</f>
        <v>43.365384615384613</v>
      </c>
      <c r="X55" s="4">
        <v>2.5</v>
      </c>
      <c r="Y55" s="4">
        <v>1.5</v>
      </c>
      <c r="Z55" s="4">
        <v>5</v>
      </c>
      <c r="AA55" s="12" t="s">
        <v>155</v>
      </c>
      <c r="AB55" s="4" t="s">
        <v>155</v>
      </c>
      <c r="AC55" s="12">
        <v>2</v>
      </c>
      <c r="AD55" s="4">
        <v>153.71623230068886</v>
      </c>
      <c r="AE55" s="30">
        <f t="shared" si="3"/>
        <v>7</v>
      </c>
      <c r="AF55" s="31">
        <f>100*AVERAGE(IF(VLOOKUP(A55,'Data Gaps'!A:O,15,FALSE)="X",'EBA2017'!AH55/4,AVERAGE(AG55/5,AH55/4)),AVERAGE(AI55/5,AJ55/8),IF(VLOOKUP(A55,'Data Gaps'!A:O,15,FALSE)="X",'EBA2017'!AL55/7,AVERAGE(AK55/7,AL55/7)))</f>
        <v>80.628968253968253</v>
      </c>
      <c r="AG55" s="4">
        <v>3.65</v>
      </c>
      <c r="AH55" s="4">
        <v>3.9166666666666661</v>
      </c>
      <c r="AI55" s="4">
        <v>3.5</v>
      </c>
      <c r="AJ55" s="4">
        <v>8</v>
      </c>
      <c r="AK55" s="4">
        <v>5</v>
      </c>
      <c r="AL55" s="4">
        <v>5</v>
      </c>
      <c r="AM55" s="30">
        <f t="shared" si="4"/>
        <v>47</v>
      </c>
      <c r="AN55" s="31">
        <f>VLOOKUP($A55,'Mark Base'!$A:$Z,21,FALSE)</f>
        <v>49.29824099700236</v>
      </c>
      <c r="AO55" s="4">
        <v>9</v>
      </c>
      <c r="AP55" s="4">
        <v>0.5</v>
      </c>
      <c r="AQ55" s="4">
        <v>3</v>
      </c>
      <c r="AR55" s="12">
        <v>1</v>
      </c>
      <c r="AS55" s="12">
        <v>1</v>
      </c>
      <c r="AT55" s="4">
        <v>4.0451640079128652E-2</v>
      </c>
      <c r="AU55" s="30">
        <f t="shared" si="5"/>
        <v>27</v>
      </c>
      <c r="AV55" s="31">
        <f t="shared" si="6"/>
        <v>62.697083036744559</v>
      </c>
      <c r="AW55" s="4">
        <v>5</v>
      </c>
      <c r="AX55" s="4">
        <v>7</v>
      </c>
      <c r="AY55" s="4">
        <v>21.516227358088528</v>
      </c>
      <c r="AZ55" s="4">
        <v>5.9999999999999991</v>
      </c>
      <c r="BA55" s="12">
        <v>1</v>
      </c>
      <c r="BB55" s="4">
        <v>28.571428571428569</v>
      </c>
      <c r="BC55" s="30">
        <f t="shared" si="7"/>
        <v>32</v>
      </c>
      <c r="BD55" s="31">
        <f t="shared" si="8"/>
        <v>50</v>
      </c>
      <c r="BE55" s="4">
        <v>14.5</v>
      </c>
      <c r="BF55" s="4">
        <v>10</v>
      </c>
      <c r="BG55" s="30">
        <f t="shared" si="9"/>
        <v>50</v>
      </c>
      <c r="BH55" s="31">
        <f t="shared" si="10"/>
        <v>41.666666666666671</v>
      </c>
      <c r="BI55" s="4">
        <v>3.7500000000000004</v>
      </c>
    </row>
    <row r="56" spans="1:61" x14ac:dyDescent="0.2">
      <c r="A56" s="2" t="s">
        <v>116</v>
      </c>
      <c r="B56" s="3" t="s">
        <v>117</v>
      </c>
      <c r="C56" s="3" t="s">
        <v>16</v>
      </c>
      <c r="D56" s="3" t="s">
        <v>17</v>
      </c>
      <c r="E56" s="3" t="s">
        <v>18</v>
      </c>
      <c r="F56" s="3" t="s">
        <v>162</v>
      </c>
      <c r="G56" s="3" t="s">
        <v>163</v>
      </c>
      <c r="H56" s="30">
        <f t="shared" si="0"/>
        <v>36</v>
      </c>
      <c r="I56" s="31">
        <f>VLOOKUP($A56,'Seed Base'!$A:$S,19,FALSE)</f>
        <v>52.798270188545004</v>
      </c>
      <c r="J56" s="4">
        <v>7</v>
      </c>
      <c r="K56" s="4">
        <v>5.5</v>
      </c>
      <c r="L56" s="4">
        <v>5.5</v>
      </c>
      <c r="M56" s="12">
        <v>561</v>
      </c>
      <c r="N56" s="4">
        <v>708.47686524484971</v>
      </c>
      <c r="O56" s="30">
        <f t="shared" si="1"/>
        <v>60</v>
      </c>
      <c r="P56" s="31">
        <f>VLOOKUP($A56,'Fert Base'!$A:$S,19,FALSE)</f>
        <v>17.857142857142854</v>
      </c>
      <c r="Q56" s="4">
        <v>0</v>
      </c>
      <c r="R56" s="4">
        <v>1</v>
      </c>
      <c r="S56" s="4">
        <v>4</v>
      </c>
      <c r="T56" s="12" t="s">
        <v>155</v>
      </c>
      <c r="U56" s="4" t="s">
        <v>155</v>
      </c>
      <c r="V56" s="30">
        <f t="shared" si="2"/>
        <v>54</v>
      </c>
      <c r="W56" s="31">
        <f>VLOOKUP($A56,'Mech Base'!$A:$Z,24,FALSE)</f>
        <v>25.148506094175072</v>
      </c>
      <c r="X56" s="4">
        <v>1</v>
      </c>
      <c r="Y56" s="4">
        <v>0.33333333333333326</v>
      </c>
      <c r="Z56" s="4">
        <v>0.5</v>
      </c>
      <c r="AA56" s="12" t="s">
        <v>155</v>
      </c>
      <c r="AB56" s="4" t="s">
        <v>155</v>
      </c>
      <c r="AC56" s="12">
        <v>5</v>
      </c>
      <c r="AD56" s="4">
        <v>0.56527409461025246</v>
      </c>
      <c r="AE56" s="30">
        <f t="shared" si="3"/>
        <v>41</v>
      </c>
      <c r="AF56" s="31">
        <f>100*AVERAGE(IF(VLOOKUP(A56,'Data Gaps'!A:O,15,FALSE)="X",'EBA2017'!AH56/4,AVERAGE(AG56/5,AH56/4)),AVERAGE(AI56/5,AJ56/8),IF(VLOOKUP(A56,'Data Gaps'!A:O,15,FALSE)="X",'EBA2017'!AL56/7,AVERAGE(AK56/7,AL56/7)))</f>
        <v>43.353174603174608</v>
      </c>
      <c r="AG56" s="4">
        <v>0</v>
      </c>
      <c r="AH56" s="4">
        <v>3.8333333333333339</v>
      </c>
      <c r="AI56" s="4">
        <v>0</v>
      </c>
      <c r="AJ56" s="4">
        <v>4</v>
      </c>
      <c r="AK56" s="4">
        <v>4</v>
      </c>
      <c r="AL56" s="4">
        <v>4</v>
      </c>
      <c r="AM56" s="30">
        <f t="shared" si="4"/>
        <v>36</v>
      </c>
      <c r="AN56" s="31">
        <f>VLOOKUP($A56,'Mark Base'!$A:$Z,21,FALSE)</f>
        <v>54.646682351460242</v>
      </c>
      <c r="AO56" s="4">
        <v>7.8</v>
      </c>
      <c r="AP56" s="4">
        <v>3.5</v>
      </c>
      <c r="AQ56" s="4">
        <v>4</v>
      </c>
      <c r="AR56" s="12">
        <v>2</v>
      </c>
      <c r="AS56" s="12">
        <v>3</v>
      </c>
      <c r="AT56" s="4">
        <v>3.7684939640683495</v>
      </c>
      <c r="AU56" s="30">
        <f t="shared" si="5"/>
        <v>35</v>
      </c>
      <c r="AV56" s="31">
        <f t="shared" si="6"/>
        <v>51.566725686575076</v>
      </c>
      <c r="AW56" s="4">
        <v>6.8333333333333321</v>
      </c>
      <c r="AX56" s="4">
        <v>12</v>
      </c>
      <c r="AY56" s="4">
        <v>2.8263704730512624</v>
      </c>
      <c r="AZ56" s="4">
        <v>5</v>
      </c>
      <c r="BA56" s="12" t="s">
        <v>154</v>
      </c>
      <c r="BB56" s="4" t="s">
        <v>154</v>
      </c>
      <c r="BC56" s="30">
        <f t="shared" si="7"/>
        <v>42</v>
      </c>
      <c r="BD56" s="31">
        <f t="shared" si="8"/>
        <v>35.732758620689651</v>
      </c>
      <c r="BE56" s="4">
        <v>5.5</v>
      </c>
      <c r="BF56" s="4">
        <v>10.5</v>
      </c>
      <c r="BG56" s="30">
        <f t="shared" si="9"/>
        <v>37</v>
      </c>
      <c r="BH56" s="31">
        <f t="shared" si="10"/>
        <v>50</v>
      </c>
      <c r="BI56" s="4">
        <v>4.5</v>
      </c>
    </row>
    <row r="57" spans="1:61" x14ac:dyDescent="0.2">
      <c r="A57" s="2" t="s">
        <v>118</v>
      </c>
      <c r="B57" s="3" t="s">
        <v>119</v>
      </c>
      <c r="C57" s="3" t="s">
        <v>7</v>
      </c>
      <c r="D57" s="3" t="s">
        <v>8</v>
      </c>
      <c r="E57" s="3" t="s">
        <v>25</v>
      </c>
      <c r="F57" s="3" t="s">
        <v>162</v>
      </c>
      <c r="G57" s="3" t="s">
        <v>163</v>
      </c>
      <c r="H57" s="30">
        <f t="shared" si="0"/>
        <v>19</v>
      </c>
      <c r="I57" s="31">
        <f>VLOOKUP($A57,'Seed Base'!$A:$S,19,FALSE)</f>
        <v>68.384823698748178</v>
      </c>
      <c r="J57" s="4">
        <v>8</v>
      </c>
      <c r="K57" s="4">
        <v>5</v>
      </c>
      <c r="L57" s="4">
        <v>7</v>
      </c>
      <c r="M57" s="12">
        <v>604</v>
      </c>
      <c r="N57" s="4">
        <v>0.4267664067557228</v>
      </c>
      <c r="O57" s="30">
        <f t="shared" si="1"/>
        <v>4</v>
      </c>
      <c r="P57" s="31">
        <f>VLOOKUP($A57,'Fert Base'!$A:$S,19,FALSE)</f>
        <v>91.918523631874407</v>
      </c>
      <c r="Q57" s="4">
        <v>5.7999999999999989</v>
      </c>
      <c r="R57" s="4">
        <v>6</v>
      </c>
      <c r="S57" s="4">
        <v>7</v>
      </c>
      <c r="T57" s="12">
        <v>22</v>
      </c>
      <c r="U57" s="4">
        <v>5.3129597598752092</v>
      </c>
      <c r="V57" s="30">
        <f t="shared" si="2"/>
        <v>2</v>
      </c>
      <c r="W57" s="31">
        <f>VLOOKUP($A57,'Mech Base'!$A:$Z,24,FALSE)</f>
        <v>89.111354045218718</v>
      </c>
      <c r="X57" s="4">
        <v>3</v>
      </c>
      <c r="Y57" s="4">
        <v>8</v>
      </c>
      <c r="Z57" s="4">
        <v>5</v>
      </c>
      <c r="AA57" s="12">
        <v>30</v>
      </c>
      <c r="AB57" s="4">
        <v>2.6715201057263527</v>
      </c>
      <c r="AC57" s="12">
        <v>2</v>
      </c>
      <c r="AD57" s="4">
        <v>5.6400846707804781</v>
      </c>
      <c r="AE57" s="30">
        <f t="shared" si="3"/>
        <v>40</v>
      </c>
      <c r="AF57" s="31">
        <f>100*AVERAGE(IF(VLOOKUP(A57,'Data Gaps'!A:O,15,FALSE)="X",'EBA2017'!AH57/4,AVERAGE(AG57/5,AH57/4)),AVERAGE(AI57/5,AJ57/8),IF(VLOOKUP(A57,'Data Gaps'!A:O,15,FALSE)="X",'EBA2017'!AL57/7,AVERAGE(AK57/7,AL57/7)))</f>
        <v>43.75</v>
      </c>
      <c r="AG57" s="4">
        <v>0</v>
      </c>
      <c r="AH57" s="4">
        <v>4</v>
      </c>
      <c r="AI57" s="4">
        <v>5</v>
      </c>
      <c r="AJ57" s="4">
        <v>5</v>
      </c>
      <c r="AK57" s="4">
        <v>0</v>
      </c>
      <c r="AL57" s="4">
        <v>0</v>
      </c>
      <c r="AM57" s="30">
        <f t="shared" si="4"/>
        <v>8</v>
      </c>
      <c r="AN57" s="31">
        <f>VLOOKUP($A57,'Mark Base'!$A:$Z,21,FALSE)</f>
        <v>76.803496256349462</v>
      </c>
      <c r="AO57" s="4">
        <v>7</v>
      </c>
      <c r="AP57" s="4">
        <v>7</v>
      </c>
      <c r="AQ57" s="4">
        <v>6.5</v>
      </c>
      <c r="AR57" s="12">
        <v>1</v>
      </c>
      <c r="AS57" s="12">
        <v>2</v>
      </c>
      <c r="AT57" s="4">
        <v>0.15524333056323264</v>
      </c>
      <c r="AU57" s="30">
        <f t="shared" si="5"/>
        <v>13</v>
      </c>
      <c r="AV57" s="31">
        <f t="shared" si="6"/>
        <v>71.968046583124206</v>
      </c>
      <c r="AW57" s="4">
        <v>6.5</v>
      </c>
      <c r="AX57" s="4">
        <v>30</v>
      </c>
      <c r="AY57" s="4">
        <v>1.6093041593960293</v>
      </c>
      <c r="AZ57" s="4">
        <v>7.0000000000000009</v>
      </c>
      <c r="BA57" s="12">
        <v>30</v>
      </c>
      <c r="BB57" s="4">
        <v>4.263904011110041</v>
      </c>
      <c r="BC57" s="30">
        <f t="shared" si="7"/>
        <v>14</v>
      </c>
      <c r="BD57" s="31">
        <f t="shared" si="8"/>
        <v>72.931034482758619</v>
      </c>
      <c r="BE57" s="4">
        <v>22</v>
      </c>
      <c r="BF57" s="4">
        <v>14</v>
      </c>
      <c r="BG57" s="30">
        <f t="shared" si="9"/>
        <v>12</v>
      </c>
      <c r="BH57" s="31">
        <f t="shared" si="10"/>
        <v>77.777777777777786</v>
      </c>
      <c r="BI57" s="4">
        <v>7.0000000000000009</v>
      </c>
    </row>
    <row r="58" spans="1:61" x14ac:dyDescent="0.2">
      <c r="A58" s="2" t="s">
        <v>120</v>
      </c>
      <c r="B58" s="3" t="s">
        <v>121</v>
      </c>
      <c r="C58" s="3" t="s">
        <v>38</v>
      </c>
      <c r="D58" s="3" t="s">
        <v>39</v>
      </c>
      <c r="E58" s="3" t="s">
        <v>40</v>
      </c>
      <c r="F58" s="3" t="s">
        <v>159</v>
      </c>
      <c r="G58" s="3" t="s">
        <v>163</v>
      </c>
      <c r="H58" s="30">
        <f t="shared" si="0"/>
        <v>2</v>
      </c>
      <c r="I58" s="31">
        <f>VLOOKUP($A58,'Seed Base'!$A:$S,19,FALSE)</f>
        <v>86.648137404530132</v>
      </c>
      <c r="J58" s="4">
        <v>10</v>
      </c>
      <c r="K58" s="4">
        <v>6</v>
      </c>
      <c r="L58" s="4">
        <v>12</v>
      </c>
      <c r="M58" s="12">
        <v>598</v>
      </c>
      <c r="N58" s="4">
        <v>9.2655549893308446</v>
      </c>
      <c r="O58" s="30">
        <f t="shared" si="1"/>
        <v>5</v>
      </c>
      <c r="P58" s="31">
        <f>VLOOKUP($A58,'Fert Base'!$A:$S,19,FALSE)</f>
        <v>91.095667323132858</v>
      </c>
      <c r="Q58" s="4">
        <v>5.7999999999999989</v>
      </c>
      <c r="R58" s="4">
        <v>7</v>
      </c>
      <c r="S58" s="4">
        <v>6</v>
      </c>
      <c r="T58" s="12">
        <v>90</v>
      </c>
      <c r="U58" s="4">
        <v>0</v>
      </c>
      <c r="V58" s="30">
        <f t="shared" si="2"/>
        <v>6</v>
      </c>
      <c r="W58" s="31">
        <f>VLOOKUP($A58,'Mech Base'!$A:$Z,24,FALSE)</f>
        <v>83.226813095211753</v>
      </c>
      <c r="X58" s="4">
        <v>4.5</v>
      </c>
      <c r="Y58" s="4">
        <v>7</v>
      </c>
      <c r="Z58" s="4">
        <v>5</v>
      </c>
      <c r="AA58" s="12">
        <v>451</v>
      </c>
      <c r="AB58" s="4">
        <v>32.234146513647268</v>
      </c>
      <c r="AC58" s="12">
        <v>5</v>
      </c>
      <c r="AD58" s="4">
        <v>0.64468293027294532</v>
      </c>
      <c r="AE58" s="30">
        <f t="shared" si="3"/>
        <v>3</v>
      </c>
      <c r="AF58" s="31">
        <f>100*AVERAGE(IF(VLOOKUP(A58,'Data Gaps'!A:O,15,FALSE)="X",'EBA2017'!AH58/4,AVERAGE(AG58/5,AH58/4)),AVERAGE(AI58/5,AJ58/8),IF(VLOOKUP(A58,'Data Gaps'!A:O,15,FALSE)="X",'EBA2017'!AL58/7,AVERAGE(AK58/7,AL58/7)))</f>
        <v>86.666666666666671</v>
      </c>
      <c r="AG58" s="4" t="s">
        <v>155</v>
      </c>
      <c r="AH58" s="4">
        <v>3.75</v>
      </c>
      <c r="AI58" s="4">
        <v>3.5</v>
      </c>
      <c r="AJ58" s="4">
        <v>5</v>
      </c>
      <c r="AK58" s="4" t="s">
        <v>155</v>
      </c>
      <c r="AL58" s="4">
        <v>7</v>
      </c>
      <c r="AM58" s="30">
        <f t="shared" si="4"/>
        <v>2</v>
      </c>
      <c r="AN58" s="31">
        <f>VLOOKUP($A58,'Mark Base'!$A:$Z,21,FALSE)</f>
        <v>87.07932692307692</v>
      </c>
      <c r="AO58" s="4">
        <v>10.75</v>
      </c>
      <c r="AP58" s="4">
        <v>7.75</v>
      </c>
      <c r="AQ58" s="4">
        <v>5.5</v>
      </c>
      <c r="AR58" s="12">
        <v>0</v>
      </c>
      <c r="AS58" s="12">
        <v>0</v>
      </c>
      <c r="AT58" s="4">
        <v>0</v>
      </c>
      <c r="AU58" s="30">
        <f t="shared" si="5"/>
        <v>1</v>
      </c>
      <c r="AV58" s="31">
        <f t="shared" si="6"/>
        <v>91.696356363989423</v>
      </c>
      <c r="AW58" s="4">
        <v>9.8333333333333321</v>
      </c>
      <c r="AX58" s="4">
        <v>3.5</v>
      </c>
      <c r="AY58" s="4">
        <v>0.16607032283831072</v>
      </c>
      <c r="AZ58" s="4">
        <v>9</v>
      </c>
      <c r="BA58" s="12">
        <v>25</v>
      </c>
      <c r="BB58" s="4">
        <v>0.51398421087561019</v>
      </c>
      <c r="BC58" s="30">
        <f t="shared" si="7"/>
        <v>1</v>
      </c>
      <c r="BD58" s="31">
        <f t="shared" si="8"/>
        <v>94.525862068965523</v>
      </c>
      <c r="BE58" s="4">
        <v>27.999999999999996</v>
      </c>
      <c r="BF58" s="4">
        <v>18.5</v>
      </c>
      <c r="BG58" s="30">
        <f t="shared" si="9"/>
        <v>1</v>
      </c>
      <c r="BH58" s="31">
        <f t="shared" si="10"/>
        <v>100</v>
      </c>
      <c r="BI58" s="4">
        <v>9</v>
      </c>
    </row>
    <row r="59" spans="1:61" x14ac:dyDescent="0.2">
      <c r="A59" s="2" t="s">
        <v>122</v>
      </c>
      <c r="B59" s="3" t="s">
        <v>123</v>
      </c>
      <c r="C59" s="3" t="s">
        <v>12</v>
      </c>
      <c r="D59" s="3" t="s">
        <v>13</v>
      </c>
      <c r="E59" s="3" t="s">
        <v>9</v>
      </c>
      <c r="F59" s="3" t="s">
        <v>160</v>
      </c>
      <c r="G59" s="3" t="s">
        <v>158</v>
      </c>
      <c r="H59" s="30">
        <f t="shared" si="0"/>
        <v>47</v>
      </c>
      <c r="I59" s="31">
        <f>VLOOKUP($A59,'Seed Base'!$A:$S,19,FALSE)</f>
        <v>47.103075360737243</v>
      </c>
      <c r="J59" s="4">
        <v>4</v>
      </c>
      <c r="K59" s="4">
        <v>3.5</v>
      </c>
      <c r="L59" s="4">
        <v>2</v>
      </c>
      <c r="M59" s="12">
        <v>298</v>
      </c>
      <c r="N59" s="4">
        <v>0</v>
      </c>
      <c r="O59" s="30">
        <f t="shared" si="1"/>
        <v>36</v>
      </c>
      <c r="P59" s="31">
        <f>VLOOKUP($A59,'Fert Base'!$A:$S,19,FALSE)</f>
        <v>53.824426128556354</v>
      </c>
      <c r="Q59" s="4">
        <v>2.4</v>
      </c>
      <c r="R59" s="4">
        <v>3.5</v>
      </c>
      <c r="S59" s="4">
        <v>3.5</v>
      </c>
      <c r="T59" s="12">
        <v>365</v>
      </c>
      <c r="U59" s="4">
        <v>3.6897076801334965</v>
      </c>
      <c r="V59" s="30">
        <f t="shared" si="2"/>
        <v>39</v>
      </c>
      <c r="W59" s="31">
        <f>VLOOKUP($A59,'Mech Base'!$A:$Z,24,FALSE)</f>
        <v>46.184214277492934</v>
      </c>
      <c r="X59" s="4">
        <v>2.5</v>
      </c>
      <c r="Y59" s="4">
        <v>2.3333333333333335</v>
      </c>
      <c r="Z59" s="4">
        <v>3</v>
      </c>
      <c r="AA59" s="12" t="s">
        <v>155</v>
      </c>
      <c r="AB59" s="4" t="s">
        <v>155</v>
      </c>
      <c r="AC59" s="12">
        <v>3</v>
      </c>
      <c r="AD59" s="4">
        <v>3.2765041066799672</v>
      </c>
      <c r="AE59" s="30">
        <f t="shared" si="3"/>
        <v>58</v>
      </c>
      <c r="AF59" s="31">
        <f>100*AVERAGE(IF(VLOOKUP(A59,'Data Gaps'!A:O,15,FALSE)="X",'EBA2017'!AH59/4,AVERAGE(AG59/5,AH59/4)),AVERAGE(AI59/5,AJ59/8),IF(VLOOKUP(A59,'Data Gaps'!A:O,15,FALSE)="X",'EBA2017'!AL59/7,AVERAGE(AK59/7,AL59/7)))</f>
        <v>28.670634920634917</v>
      </c>
      <c r="AG59" s="4">
        <v>0</v>
      </c>
      <c r="AH59" s="4">
        <v>3.6666666666666661</v>
      </c>
      <c r="AI59" s="4">
        <v>0</v>
      </c>
      <c r="AJ59" s="4">
        <v>3</v>
      </c>
      <c r="AK59" s="4">
        <v>0</v>
      </c>
      <c r="AL59" s="4">
        <v>3</v>
      </c>
      <c r="AM59" s="30">
        <f t="shared" si="4"/>
        <v>58</v>
      </c>
      <c r="AN59" s="31">
        <f>VLOOKUP($A59,'Mark Base'!$A:$Z,21,FALSE)</f>
        <v>33.850038850038857</v>
      </c>
      <c r="AO59" s="4">
        <v>6.9</v>
      </c>
      <c r="AP59" s="4">
        <v>2</v>
      </c>
      <c r="AQ59" s="4">
        <v>2.5</v>
      </c>
      <c r="AR59" s="12">
        <v>3</v>
      </c>
      <c r="AS59" s="12">
        <v>4</v>
      </c>
      <c r="AT59" s="4">
        <v>7.1205523749965458</v>
      </c>
      <c r="AU59" s="30">
        <f t="shared" si="5"/>
        <v>50</v>
      </c>
      <c r="AV59" s="31">
        <f t="shared" si="6"/>
        <v>31.820066543867586</v>
      </c>
      <c r="AW59" s="4">
        <v>3.5</v>
      </c>
      <c r="AX59" s="4">
        <v>1.5</v>
      </c>
      <c r="AY59" s="4">
        <v>2.6825179820771665</v>
      </c>
      <c r="AZ59" s="4">
        <v>0</v>
      </c>
      <c r="BA59" s="12" t="s">
        <v>155</v>
      </c>
      <c r="BB59" s="4" t="s">
        <v>155</v>
      </c>
      <c r="BC59" s="30">
        <f t="shared" si="7"/>
        <v>54</v>
      </c>
      <c r="BD59" s="31">
        <f t="shared" si="8"/>
        <v>16.681034482758623</v>
      </c>
      <c r="BE59" s="4">
        <v>7.5000000000000009</v>
      </c>
      <c r="BF59" s="4">
        <v>1.5</v>
      </c>
      <c r="BG59" s="30">
        <f t="shared" si="9"/>
        <v>59</v>
      </c>
      <c r="BH59" s="31">
        <f t="shared" si="10"/>
        <v>27.777777777777779</v>
      </c>
      <c r="BI59" s="4">
        <v>2.5</v>
      </c>
    </row>
    <row r="60" spans="1:61" x14ac:dyDescent="0.2">
      <c r="A60" s="2" t="s">
        <v>124</v>
      </c>
      <c r="B60" s="3" t="s">
        <v>125</v>
      </c>
      <c r="C60" s="3" t="s">
        <v>16</v>
      </c>
      <c r="D60" s="3" t="s">
        <v>17</v>
      </c>
      <c r="E60" s="3" t="s">
        <v>9</v>
      </c>
      <c r="F60" s="3" t="s">
        <v>160</v>
      </c>
      <c r="G60" s="3" t="s">
        <v>158</v>
      </c>
      <c r="H60" s="30">
        <f t="shared" si="0"/>
        <v>41</v>
      </c>
      <c r="I60" s="31">
        <f>VLOOKUP($A60,'Seed Base'!$A:$S,19,FALSE)</f>
        <v>49.341930757844423</v>
      </c>
      <c r="J60" s="4">
        <v>8</v>
      </c>
      <c r="K60" s="4">
        <v>4.5</v>
      </c>
      <c r="L60" s="4">
        <v>4.5</v>
      </c>
      <c r="M60" s="12">
        <v>654</v>
      </c>
      <c r="N60" s="4">
        <v>620.66555118923702</v>
      </c>
      <c r="O60" s="30">
        <f t="shared" si="1"/>
        <v>56</v>
      </c>
      <c r="P60" s="31">
        <f>VLOOKUP($A60,'Fert Base'!$A:$S,19,FALSE)</f>
        <v>23.214285714285715</v>
      </c>
      <c r="Q60" s="4">
        <v>0</v>
      </c>
      <c r="R60" s="4">
        <v>3.5</v>
      </c>
      <c r="S60" s="4">
        <v>3</v>
      </c>
      <c r="T60" s="12" t="s">
        <v>155</v>
      </c>
      <c r="U60" s="4" t="s">
        <v>155</v>
      </c>
      <c r="V60" s="30">
        <f t="shared" si="2"/>
        <v>27</v>
      </c>
      <c r="W60" s="31">
        <f>VLOOKUP($A60,'Mech Base'!$A:$Z,24,FALSE)</f>
        <v>54.868340678392315</v>
      </c>
      <c r="X60" s="4">
        <v>2.5</v>
      </c>
      <c r="Y60" s="4">
        <v>5.3333333333333321</v>
      </c>
      <c r="Z60" s="4">
        <v>1.5</v>
      </c>
      <c r="AA60" s="12">
        <v>45</v>
      </c>
      <c r="AB60" s="4">
        <v>146.61390972974104</v>
      </c>
      <c r="AC60" s="12">
        <v>7</v>
      </c>
      <c r="AD60" s="4">
        <v>29.811494978380676</v>
      </c>
      <c r="AE60" s="30">
        <f t="shared" si="3"/>
        <v>53</v>
      </c>
      <c r="AF60" s="31">
        <f>100*AVERAGE(IF(VLOOKUP(A60,'Data Gaps'!A:O,15,FALSE)="X",'EBA2017'!AH60/4,AVERAGE(AG60/5,AH60/4)),AVERAGE(AI60/5,AJ60/8),IF(VLOOKUP(A60,'Data Gaps'!A:O,15,FALSE)="X",'EBA2017'!AL60/7,AVERAGE(AK60/7,AL60/7)))</f>
        <v>33.928571428571423</v>
      </c>
      <c r="AG60" s="4">
        <v>0</v>
      </c>
      <c r="AH60" s="4">
        <v>2</v>
      </c>
      <c r="AI60" s="4">
        <v>0</v>
      </c>
      <c r="AJ60" s="4">
        <v>2</v>
      </c>
      <c r="AK60" s="4">
        <v>5</v>
      </c>
      <c r="AL60" s="4">
        <v>4</v>
      </c>
      <c r="AM60" s="30">
        <f t="shared" si="4"/>
        <v>61</v>
      </c>
      <c r="AN60" s="31">
        <f>VLOOKUP($A60,'Mark Base'!$A:$Z,21,FALSE)</f>
        <v>30.555555555555554</v>
      </c>
      <c r="AO60" s="4">
        <v>6.5</v>
      </c>
      <c r="AP60" s="4">
        <v>1.5</v>
      </c>
      <c r="AQ60" s="4" t="s">
        <v>153</v>
      </c>
      <c r="AR60" s="12">
        <v>2</v>
      </c>
      <c r="AS60" s="12">
        <v>21</v>
      </c>
      <c r="AT60" s="4">
        <v>6.1089129054058766</v>
      </c>
      <c r="AU60" s="30">
        <f t="shared" si="5"/>
        <v>45</v>
      </c>
      <c r="AV60" s="31">
        <f t="shared" si="6"/>
        <v>43.456724502352159</v>
      </c>
      <c r="AW60" s="4">
        <v>1.0000000000000002</v>
      </c>
      <c r="AX60" s="4" t="s">
        <v>155</v>
      </c>
      <c r="AY60" s="4" t="s">
        <v>155</v>
      </c>
      <c r="AZ60" s="4">
        <v>7.0000000000000009</v>
      </c>
      <c r="BA60" s="12">
        <v>14</v>
      </c>
      <c r="BB60" s="4">
        <v>2.4435651621623506</v>
      </c>
      <c r="BC60" s="30">
        <f t="shared" si="7"/>
        <v>59</v>
      </c>
      <c r="BD60" s="31">
        <f t="shared" si="8"/>
        <v>10.172413793103448</v>
      </c>
      <c r="BE60" s="4">
        <v>3</v>
      </c>
      <c r="BF60" s="4">
        <v>2</v>
      </c>
      <c r="BG60" s="30">
        <f t="shared" si="9"/>
        <v>57</v>
      </c>
      <c r="BH60" s="31">
        <f t="shared" si="10"/>
        <v>33.333333333333329</v>
      </c>
      <c r="BI60" s="4">
        <v>2.9999999999999996</v>
      </c>
    </row>
    <row r="61" spans="1:61" x14ac:dyDescent="0.2">
      <c r="A61" s="2" t="s">
        <v>126</v>
      </c>
      <c r="B61" s="3" t="s">
        <v>127</v>
      </c>
      <c r="C61" s="3" t="s">
        <v>7</v>
      </c>
      <c r="D61" s="3" t="s">
        <v>8</v>
      </c>
      <c r="E61" s="3" t="s">
        <v>9</v>
      </c>
      <c r="F61" s="3" t="s">
        <v>159</v>
      </c>
      <c r="G61" s="3" t="s">
        <v>163</v>
      </c>
      <c r="H61" s="30">
        <f t="shared" si="0"/>
        <v>51</v>
      </c>
      <c r="I61" s="31">
        <f>VLOOKUP($A61,'Seed Base'!$A:$S,19,FALSE)</f>
        <v>42.395833333333336</v>
      </c>
      <c r="J61" s="4">
        <v>8</v>
      </c>
      <c r="K61" s="4">
        <v>4.5</v>
      </c>
      <c r="L61" s="4">
        <v>4</v>
      </c>
      <c r="M61" s="12" t="s">
        <v>154</v>
      </c>
      <c r="N61" s="4" t="s">
        <v>154</v>
      </c>
      <c r="O61" s="30">
        <f t="shared" si="1"/>
        <v>49</v>
      </c>
      <c r="P61" s="31">
        <f>VLOOKUP($A61,'Fert Base'!$A:$S,19,FALSE)</f>
        <v>36.785714285714292</v>
      </c>
      <c r="Q61" s="4">
        <v>2.2999999999999998</v>
      </c>
      <c r="R61" s="4">
        <v>2</v>
      </c>
      <c r="S61" s="4">
        <v>6</v>
      </c>
      <c r="T61" s="12" t="s">
        <v>154</v>
      </c>
      <c r="U61" s="4" t="s">
        <v>154</v>
      </c>
      <c r="V61" s="30">
        <f t="shared" si="2"/>
        <v>22</v>
      </c>
      <c r="W61" s="31">
        <f>VLOOKUP($A61,'Mech Base'!$A:$Z,24,FALSE)</f>
        <v>58.149028033505822</v>
      </c>
      <c r="X61" s="4">
        <v>3</v>
      </c>
      <c r="Y61" s="4">
        <v>4</v>
      </c>
      <c r="Z61" s="4">
        <v>5</v>
      </c>
      <c r="AA61" s="12" t="s">
        <v>154</v>
      </c>
      <c r="AB61" s="4" t="s">
        <v>154</v>
      </c>
      <c r="AC61" s="12">
        <v>10</v>
      </c>
      <c r="AD61" s="4">
        <v>1.4636959544561556</v>
      </c>
      <c r="AE61" s="30">
        <f t="shared" si="3"/>
        <v>55</v>
      </c>
      <c r="AF61" s="31">
        <f>100*AVERAGE(IF(VLOOKUP(A61,'Data Gaps'!A:O,15,FALSE)="X",'EBA2017'!AH61/4,AVERAGE(AG61/5,AH61/4)),AVERAGE(AI61/5,AJ61/8),IF(VLOOKUP(A61,'Data Gaps'!A:O,15,FALSE)="X",'EBA2017'!AL61/7,AVERAGE(AK61/7,AL61/7)))</f>
        <v>32.142857142857146</v>
      </c>
      <c r="AG61" s="4">
        <v>0</v>
      </c>
      <c r="AH61" s="4">
        <v>1</v>
      </c>
      <c r="AI61" s="4">
        <v>0</v>
      </c>
      <c r="AJ61" s="4">
        <v>2</v>
      </c>
      <c r="AK61" s="4">
        <v>7</v>
      </c>
      <c r="AL61" s="4">
        <v>3</v>
      </c>
      <c r="AM61" s="30">
        <f t="shared" si="4"/>
        <v>32</v>
      </c>
      <c r="AN61" s="31">
        <f>VLOOKUP($A61,'Mark Base'!$A:$Z,21,FALSE)</f>
        <v>58.050842085894658</v>
      </c>
      <c r="AO61" s="4">
        <v>9</v>
      </c>
      <c r="AP61" s="4">
        <v>4.5</v>
      </c>
      <c r="AQ61" s="4">
        <v>5.5</v>
      </c>
      <c r="AR61" s="12">
        <v>2</v>
      </c>
      <c r="AS61" s="12">
        <v>6</v>
      </c>
      <c r="AT61" s="4">
        <v>4.2696010991486055</v>
      </c>
      <c r="AU61" s="30">
        <f t="shared" si="5"/>
        <v>6</v>
      </c>
      <c r="AV61" s="31">
        <f t="shared" si="6"/>
        <v>84.085490905726317</v>
      </c>
      <c r="AW61" s="4">
        <v>9.5</v>
      </c>
      <c r="AX61" s="4">
        <v>2</v>
      </c>
      <c r="AY61" s="4">
        <v>0.44433012332527821</v>
      </c>
      <c r="AZ61" s="4">
        <v>5</v>
      </c>
      <c r="BA61" s="12">
        <v>1</v>
      </c>
      <c r="BB61" s="4">
        <v>5.1229358405965444</v>
      </c>
      <c r="BC61" s="30">
        <f t="shared" si="7"/>
        <v>35</v>
      </c>
      <c r="BD61" s="31">
        <f t="shared" si="8"/>
        <v>46.810344827586206</v>
      </c>
      <c r="BE61" s="4">
        <v>17</v>
      </c>
      <c r="BF61" s="4">
        <v>7</v>
      </c>
      <c r="BG61" s="30">
        <f t="shared" si="9"/>
        <v>56</v>
      </c>
      <c r="BH61" s="31">
        <f t="shared" si="10"/>
        <v>36.111111111111107</v>
      </c>
      <c r="BI61" s="4">
        <v>3.2499999999999996</v>
      </c>
    </row>
    <row r="62" spans="1:61" x14ac:dyDescent="0.2">
      <c r="A62" s="2" t="s">
        <v>128</v>
      </c>
      <c r="B62" s="3" t="s">
        <v>129</v>
      </c>
      <c r="C62" s="3" t="s">
        <v>16</v>
      </c>
      <c r="D62" s="3" t="s">
        <v>17</v>
      </c>
      <c r="E62" s="3" t="s">
        <v>18</v>
      </c>
      <c r="F62" s="3" t="s">
        <v>159</v>
      </c>
      <c r="G62" s="3" t="s">
        <v>158</v>
      </c>
      <c r="H62" s="30">
        <f t="shared" si="0"/>
        <v>17</v>
      </c>
      <c r="I62" s="31">
        <f>VLOOKUP($A62,'Seed Base'!$A:$S,19,FALSE)</f>
        <v>68.905553720713385</v>
      </c>
      <c r="J62" s="4">
        <v>9</v>
      </c>
      <c r="K62" s="4">
        <v>4</v>
      </c>
      <c r="L62" s="4">
        <v>6.5</v>
      </c>
      <c r="M62" s="12">
        <v>333</v>
      </c>
      <c r="N62" s="4">
        <v>65.108755387015222</v>
      </c>
      <c r="O62" s="30">
        <f t="shared" si="1"/>
        <v>37</v>
      </c>
      <c r="P62" s="31">
        <f>VLOOKUP($A62,'Fert Base'!$A:$S,19,FALSE)</f>
        <v>52.841236176336913</v>
      </c>
      <c r="Q62" s="4">
        <v>3.4</v>
      </c>
      <c r="R62" s="4">
        <v>7</v>
      </c>
      <c r="S62" s="4">
        <v>3</v>
      </c>
      <c r="T62" s="12">
        <v>578</v>
      </c>
      <c r="U62" s="4">
        <v>983.14220634392962</v>
      </c>
      <c r="V62" s="30">
        <f t="shared" si="2"/>
        <v>40</v>
      </c>
      <c r="W62" s="31">
        <f>VLOOKUP($A62,'Mech Base'!$A:$Z,24,FALSE)</f>
        <v>44.382515575697241</v>
      </c>
      <c r="X62" s="4">
        <v>0.5</v>
      </c>
      <c r="Y62" s="4">
        <v>3.5</v>
      </c>
      <c r="Z62" s="4">
        <v>5</v>
      </c>
      <c r="AA62" s="12" t="s">
        <v>155</v>
      </c>
      <c r="AB62" s="4" t="s">
        <v>155</v>
      </c>
      <c r="AC62" s="12">
        <v>3</v>
      </c>
      <c r="AD62" s="4">
        <v>20.716422168595752</v>
      </c>
      <c r="AE62" s="30">
        <f t="shared" si="3"/>
        <v>5</v>
      </c>
      <c r="AF62" s="31">
        <f>100*AVERAGE(IF(VLOOKUP(A62,'Data Gaps'!A:O,15,FALSE)="X",'EBA2017'!AH62/4,AVERAGE(AG62/5,AH62/4)),AVERAGE(AI62/5,AJ62/8),IF(VLOOKUP(A62,'Data Gaps'!A:O,15,FALSE)="X",'EBA2017'!AL62/7,AVERAGE(AK62/7,AL62/7)))</f>
        <v>84.849206349206341</v>
      </c>
      <c r="AG62" s="4">
        <v>4.05</v>
      </c>
      <c r="AH62" s="4">
        <v>3.6666666666666661</v>
      </c>
      <c r="AI62" s="4">
        <v>4.5</v>
      </c>
      <c r="AJ62" s="4">
        <v>6</v>
      </c>
      <c r="AK62" s="4">
        <v>6</v>
      </c>
      <c r="AL62" s="4">
        <v>6</v>
      </c>
      <c r="AM62" s="30">
        <f t="shared" si="4"/>
        <v>56</v>
      </c>
      <c r="AN62" s="31">
        <f>VLOOKUP($A62,'Mark Base'!$A:$Z,21,FALSE)</f>
        <v>37.875140961855024</v>
      </c>
      <c r="AO62" s="4">
        <v>9.7000000000000011</v>
      </c>
      <c r="AP62" s="4">
        <v>3</v>
      </c>
      <c r="AQ62" s="4">
        <v>3</v>
      </c>
      <c r="AR62" s="12">
        <v>4</v>
      </c>
      <c r="AS62" s="12">
        <v>16</v>
      </c>
      <c r="AT62" s="4">
        <v>4.2857142857142856</v>
      </c>
      <c r="AU62" s="30">
        <f t="shared" si="5"/>
        <v>25</v>
      </c>
      <c r="AV62" s="31">
        <f t="shared" si="6"/>
        <v>65.134612548322423</v>
      </c>
      <c r="AW62" s="4">
        <v>3.5</v>
      </c>
      <c r="AX62" s="4">
        <v>3</v>
      </c>
      <c r="AY62" s="4">
        <v>4.7351822099647434</v>
      </c>
      <c r="AZ62" s="4">
        <v>5.9999999999999991</v>
      </c>
      <c r="BA62" s="12">
        <v>14</v>
      </c>
      <c r="BB62" s="4">
        <v>21.978021978021978</v>
      </c>
      <c r="BC62" s="30">
        <f t="shared" si="7"/>
        <v>22</v>
      </c>
      <c r="BD62" s="31">
        <f t="shared" si="8"/>
        <v>62.672413793103445</v>
      </c>
      <c r="BE62" s="4">
        <v>17.5</v>
      </c>
      <c r="BF62" s="4">
        <v>13</v>
      </c>
      <c r="BG62" s="30">
        <f t="shared" si="9"/>
        <v>18</v>
      </c>
      <c r="BH62" s="31">
        <f t="shared" si="10"/>
        <v>66.666666666666657</v>
      </c>
      <c r="BI62" s="4">
        <v>5.9999999999999991</v>
      </c>
    </row>
    <row r="63" spans="1:61" x14ac:dyDescent="0.2">
      <c r="A63" s="2" t="s">
        <v>130</v>
      </c>
      <c r="B63" s="3" t="s">
        <v>131</v>
      </c>
      <c r="C63" s="3" t="s">
        <v>32</v>
      </c>
      <c r="D63" s="3" t="s">
        <v>33</v>
      </c>
      <c r="E63" s="3" t="s">
        <v>25</v>
      </c>
      <c r="F63" s="3" t="s">
        <v>161</v>
      </c>
      <c r="G63" s="3" t="s">
        <v>158</v>
      </c>
      <c r="H63" s="30">
        <f t="shared" si="0"/>
        <v>32</v>
      </c>
      <c r="I63" s="31">
        <f>VLOOKUP($A63,'Seed Base'!$A:$S,19,FALSE)</f>
        <v>56.870602669176698</v>
      </c>
      <c r="J63" s="4">
        <v>8</v>
      </c>
      <c r="K63" s="4">
        <v>3</v>
      </c>
      <c r="L63" s="4">
        <v>3</v>
      </c>
      <c r="M63" s="12">
        <v>327</v>
      </c>
      <c r="N63" s="4">
        <v>7.2903383858726007</v>
      </c>
      <c r="O63" s="30">
        <f t="shared" si="1"/>
        <v>15</v>
      </c>
      <c r="P63" s="31">
        <f>VLOOKUP($A63,'Fert Base'!$A:$S,19,FALSE)</f>
        <v>71.647202858993225</v>
      </c>
      <c r="Q63" s="4">
        <v>5.4000000000000012</v>
      </c>
      <c r="R63" s="4">
        <v>4.5000000000000009</v>
      </c>
      <c r="S63" s="4">
        <v>3.5</v>
      </c>
      <c r="T63" s="12">
        <v>100</v>
      </c>
      <c r="U63" s="4">
        <v>2.0430151818817022</v>
      </c>
      <c r="V63" s="30">
        <f t="shared" si="2"/>
        <v>24</v>
      </c>
      <c r="W63" s="31">
        <f>VLOOKUP($A63,'Mech Base'!$A:$Z,24,FALSE)</f>
        <v>56.527355812458033</v>
      </c>
      <c r="X63" s="4">
        <v>3</v>
      </c>
      <c r="Y63" s="4">
        <v>1.833333333333333</v>
      </c>
      <c r="Z63" s="4">
        <v>5</v>
      </c>
      <c r="AA63" s="12" t="s">
        <v>155</v>
      </c>
      <c r="AB63" s="4" t="s">
        <v>155</v>
      </c>
      <c r="AC63" s="12">
        <v>1</v>
      </c>
      <c r="AD63" s="4">
        <v>0.23118329689713996</v>
      </c>
      <c r="AE63" s="30">
        <f t="shared" si="3"/>
        <v>29</v>
      </c>
      <c r="AF63" s="31">
        <f>100*AVERAGE(IF(VLOOKUP(A63,'Data Gaps'!A:O,15,FALSE)="X",'EBA2017'!AH63/4,AVERAGE(AG63/5,AH63/4)),AVERAGE(AI63/5,AJ63/8),IF(VLOOKUP(A63,'Data Gaps'!A:O,15,FALSE)="X",'EBA2017'!AL63/7,AVERAGE(AK63/7,AL63/7)))</f>
        <v>52.107142857142854</v>
      </c>
      <c r="AG63" s="4">
        <v>3.4</v>
      </c>
      <c r="AH63" s="4">
        <v>3.5</v>
      </c>
      <c r="AI63" s="4">
        <v>3.75</v>
      </c>
      <c r="AJ63" s="4">
        <v>2</v>
      </c>
      <c r="AK63" s="4">
        <v>0</v>
      </c>
      <c r="AL63" s="4">
        <v>4</v>
      </c>
      <c r="AM63" s="30">
        <f t="shared" si="4"/>
        <v>52</v>
      </c>
      <c r="AN63" s="31">
        <f>VLOOKUP($A63,'Mark Base'!$A:$Z,21,FALSE)</f>
        <v>44.62542499566235</v>
      </c>
      <c r="AO63" s="4">
        <v>5</v>
      </c>
      <c r="AP63" s="4">
        <v>3</v>
      </c>
      <c r="AQ63" s="4">
        <v>4.5</v>
      </c>
      <c r="AR63" s="12">
        <v>3</v>
      </c>
      <c r="AS63" s="12">
        <v>6</v>
      </c>
      <c r="AT63" s="4">
        <v>0.6720444677242442</v>
      </c>
      <c r="AU63" s="30">
        <f t="shared" si="5"/>
        <v>53</v>
      </c>
      <c r="AV63" s="31">
        <f t="shared" si="6"/>
        <v>29.084333531608436</v>
      </c>
      <c r="AW63" s="4">
        <v>5</v>
      </c>
      <c r="AX63" s="4">
        <v>45</v>
      </c>
      <c r="AY63" s="4">
        <v>0.80645336126909295</v>
      </c>
      <c r="AZ63" s="4">
        <v>0</v>
      </c>
      <c r="BA63" s="12" t="s">
        <v>154</v>
      </c>
      <c r="BB63" s="4" t="s">
        <v>154</v>
      </c>
      <c r="BC63" s="30">
        <f t="shared" si="7"/>
        <v>60</v>
      </c>
      <c r="BD63" s="31">
        <f t="shared" si="8"/>
        <v>6.0344827586206895</v>
      </c>
      <c r="BE63" s="4">
        <v>3.4999999999999996</v>
      </c>
      <c r="BF63" s="4">
        <v>0</v>
      </c>
      <c r="BG63" s="30">
        <f t="shared" si="9"/>
        <v>31</v>
      </c>
      <c r="BH63" s="31">
        <f t="shared" si="10"/>
        <v>55.555555555555557</v>
      </c>
      <c r="BI63" s="4">
        <v>5</v>
      </c>
    </row>
    <row r="64" spans="1:61" x14ac:dyDescent="0.2">
      <c r="A64" s="2" t="s">
        <v>132</v>
      </c>
      <c r="B64" s="3" t="s">
        <v>133</v>
      </c>
      <c r="C64" s="3" t="s">
        <v>7</v>
      </c>
      <c r="D64" s="3" t="s">
        <v>8</v>
      </c>
      <c r="E64" s="3" t="s">
        <v>25</v>
      </c>
      <c r="F64" s="3" t="s">
        <v>159</v>
      </c>
      <c r="G64" s="3" t="s">
        <v>163</v>
      </c>
      <c r="H64" s="30">
        <f t="shared" si="0"/>
        <v>12</v>
      </c>
      <c r="I64" s="31">
        <f>VLOOKUP($A64,'Seed Base'!$A:$S,19,FALSE)</f>
        <v>72.06572174718039</v>
      </c>
      <c r="J64" s="4">
        <v>6</v>
      </c>
      <c r="K64" s="4">
        <v>6.5</v>
      </c>
      <c r="L64" s="4">
        <v>10</v>
      </c>
      <c r="M64" s="12">
        <v>646</v>
      </c>
      <c r="N64" s="4">
        <v>28.821370184173094</v>
      </c>
      <c r="O64" s="30">
        <f t="shared" si="1"/>
        <v>12</v>
      </c>
      <c r="P64" s="31">
        <f>VLOOKUP($A64,'Fert Base'!$A:$S,19,FALSE)</f>
        <v>74.101454514598544</v>
      </c>
      <c r="Q64" s="4">
        <v>5.4000000000000012</v>
      </c>
      <c r="R64" s="4">
        <v>5</v>
      </c>
      <c r="S64" s="4">
        <v>3.5</v>
      </c>
      <c r="T64" s="12">
        <v>50</v>
      </c>
      <c r="U64" s="4">
        <v>1.6533505558909496</v>
      </c>
      <c r="V64" s="30">
        <f t="shared" si="2"/>
        <v>4</v>
      </c>
      <c r="W64" s="31">
        <f>VLOOKUP($A64,'Mech Base'!$A:$Z,24,FALSE)</f>
        <v>88.68648362241855</v>
      </c>
      <c r="X64" s="4">
        <v>4.5</v>
      </c>
      <c r="Y64" s="4">
        <v>6.6666666666666661</v>
      </c>
      <c r="Z64" s="4">
        <v>5</v>
      </c>
      <c r="AA64" s="12">
        <v>90</v>
      </c>
      <c r="AB64" s="4">
        <v>102.0586762895648</v>
      </c>
      <c r="AC64" s="12">
        <v>2</v>
      </c>
      <c r="AD64" s="4">
        <v>2.4494082309495546</v>
      </c>
      <c r="AE64" s="30">
        <f t="shared" si="3"/>
        <v>32</v>
      </c>
      <c r="AF64" s="31">
        <f>100*AVERAGE(IF(VLOOKUP(A64,'Data Gaps'!A:O,15,FALSE)="X",'EBA2017'!AH64/4,AVERAGE(AG64/5,AH64/4)),AVERAGE(AI64/5,AJ64/8),IF(VLOOKUP(A64,'Data Gaps'!A:O,15,FALSE)="X",'EBA2017'!AL64/7,AVERAGE(AK64/7,AL64/7)))</f>
        <v>49.057539682539684</v>
      </c>
      <c r="AG64" s="4">
        <v>0</v>
      </c>
      <c r="AH64" s="4">
        <v>3.4166666666666661</v>
      </c>
      <c r="AI64" s="4">
        <v>5</v>
      </c>
      <c r="AJ64" s="4">
        <v>3</v>
      </c>
      <c r="AK64" s="4">
        <v>0</v>
      </c>
      <c r="AL64" s="4">
        <v>5</v>
      </c>
      <c r="AM64" s="30">
        <f t="shared" si="4"/>
        <v>29</v>
      </c>
      <c r="AN64" s="31">
        <f>VLOOKUP($A64,'Mark Base'!$A:$Z,21,FALSE)</f>
        <v>59.945324827969237</v>
      </c>
      <c r="AO64" s="4">
        <v>5.0999999999999996</v>
      </c>
      <c r="AP64" s="4">
        <v>7</v>
      </c>
      <c r="AQ64" s="4">
        <v>4</v>
      </c>
      <c r="AR64" s="12">
        <v>3</v>
      </c>
      <c r="AS64" s="12">
        <v>3</v>
      </c>
      <c r="AT64" s="4">
        <v>0.44905817567408512</v>
      </c>
      <c r="AU64" s="30">
        <f t="shared" si="5"/>
        <v>28</v>
      </c>
      <c r="AV64" s="31">
        <f t="shared" si="6"/>
        <v>62.60740856321204</v>
      </c>
      <c r="AW64" s="4">
        <v>8.6666666666666679</v>
      </c>
      <c r="AX64" s="4">
        <v>4</v>
      </c>
      <c r="AY64" s="4">
        <v>83.492161898967169</v>
      </c>
      <c r="AZ64" s="4">
        <v>7.0000000000000009</v>
      </c>
      <c r="BA64" s="12">
        <v>6</v>
      </c>
      <c r="BB64" s="4">
        <v>334.05029453690031</v>
      </c>
      <c r="BC64" s="30">
        <f t="shared" si="7"/>
        <v>51</v>
      </c>
      <c r="BD64" s="31">
        <f t="shared" si="8"/>
        <v>24.137931034482758</v>
      </c>
      <c r="BE64" s="4">
        <v>13.999999999999998</v>
      </c>
      <c r="BF64" s="4">
        <v>0</v>
      </c>
      <c r="BG64" s="30">
        <f t="shared" si="9"/>
        <v>31</v>
      </c>
      <c r="BH64" s="31">
        <f t="shared" si="10"/>
        <v>55.555555555555557</v>
      </c>
      <c r="BI64" s="4">
        <v>5</v>
      </c>
    </row>
    <row r="65" spans="1:61" x14ac:dyDescent="0.2">
      <c r="A65" s="2" t="s">
        <v>134</v>
      </c>
      <c r="B65" s="3" t="s">
        <v>135</v>
      </c>
      <c r="C65" s="3" t="s">
        <v>16</v>
      </c>
      <c r="D65" s="3" t="s">
        <v>17</v>
      </c>
      <c r="E65" s="3" t="s">
        <v>18</v>
      </c>
      <c r="F65" s="3" t="s">
        <v>160</v>
      </c>
      <c r="G65" s="3" t="s">
        <v>158</v>
      </c>
      <c r="H65" s="30">
        <f t="shared" si="0"/>
        <v>31</v>
      </c>
      <c r="I65" s="31">
        <f>VLOOKUP($A65,'Seed Base'!$A:$S,19,FALSE)</f>
        <v>57.820912149872683</v>
      </c>
      <c r="J65" s="4">
        <v>7</v>
      </c>
      <c r="K65" s="4">
        <v>5.5</v>
      </c>
      <c r="L65" s="4">
        <v>3</v>
      </c>
      <c r="M65" s="12">
        <v>523</v>
      </c>
      <c r="N65" s="4">
        <v>0</v>
      </c>
      <c r="O65" s="30">
        <f t="shared" si="1"/>
        <v>40</v>
      </c>
      <c r="P65" s="31">
        <f>VLOOKUP($A65,'Fert Base'!$A:$S,19,FALSE)</f>
        <v>46.746898373387033</v>
      </c>
      <c r="Q65" s="4">
        <v>3.4</v>
      </c>
      <c r="R65" s="4">
        <v>4</v>
      </c>
      <c r="S65" s="4">
        <v>2</v>
      </c>
      <c r="T65" s="12">
        <v>663</v>
      </c>
      <c r="U65" s="4">
        <v>215.29316667584428</v>
      </c>
      <c r="V65" s="30">
        <f t="shared" si="2"/>
        <v>31</v>
      </c>
      <c r="W65" s="31">
        <f>VLOOKUP($A65,'Mech Base'!$A:$Z,24,FALSE)</f>
        <v>53.209704706954334</v>
      </c>
      <c r="X65" s="4">
        <v>2</v>
      </c>
      <c r="Y65" s="4">
        <v>5</v>
      </c>
      <c r="Z65" s="4">
        <v>5</v>
      </c>
      <c r="AA65" s="12" t="s">
        <v>154</v>
      </c>
      <c r="AB65" s="4" t="s">
        <v>154</v>
      </c>
      <c r="AC65" s="12">
        <v>8.5</v>
      </c>
      <c r="AD65" s="4">
        <v>16.308457375695205</v>
      </c>
      <c r="AE65" s="30">
        <f t="shared" si="3"/>
        <v>31</v>
      </c>
      <c r="AF65" s="31">
        <f>100*AVERAGE(IF(VLOOKUP(A65,'Data Gaps'!A:O,15,FALSE)="X",'EBA2017'!AH65/4,AVERAGE(AG65/5,AH65/4)),AVERAGE(AI65/5,AJ65/8),IF(VLOOKUP(A65,'Data Gaps'!A:O,15,FALSE)="X",'EBA2017'!AL65/7,AVERAGE(AK65/7,AL65/7)))</f>
        <v>50.297619047619044</v>
      </c>
      <c r="AG65" s="4">
        <v>0</v>
      </c>
      <c r="AH65" s="4">
        <v>1</v>
      </c>
      <c r="AI65" s="4">
        <v>5</v>
      </c>
      <c r="AJ65" s="4">
        <v>5</v>
      </c>
      <c r="AK65" s="4">
        <v>5</v>
      </c>
      <c r="AL65" s="4">
        <v>3</v>
      </c>
      <c r="AM65" s="30">
        <f t="shared" si="4"/>
        <v>45</v>
      </c>
      <c r="AN65" s="31">
        <f>VLOOKUP($A65,'Mark Base'!$A:$Z,21,FALSE)</f>
        <v>50.43565039778187</v>
      </c>
      <c r="AO65" s="4">
        <v>6.9</v>
      </c>
      <c r="AP65" s="4">
        <v>3</v>
      </c>
      <c r="AQ65" s="4">
        <v>4</v>
      </c>
      <c r="AR65" s="12">
        <v>3</v>
      </c>
      <c r="AS65" s="12">
        <v>4</v>
      </c>
      <c r="AT65" s="4">
        <v>0.26911645834480535</v>
      </c>
      <c r="AU65" s="30">
        <f t="shared" si="5"/>
        <v>18</v>
      </c>
      <c r="AV65" s="31">
        <f t="shared" si="6"/>
        <v>68.16889569505804</v>
      </c>
      <c r="AW65" s="4">
        <v>4.5000000000000009</v>
      </c>
      <c r="AX65" s="4">
        <v>1</v>
      </c>
      <c r="AY65" s="4">
        <v>5.9205620835857182</v>
      </c>
      <c r="AZ65" s="4">
        <v>5.9999999999999991</v>
      </c>
      <c r="BA65" s="12">
        <v>2</v>
      </c>
      <c r="BB65" s="4">
        <v>29.850746268656714</v>
      </c>
      <c r="BC65" s="30">
        <f t="shared" si="7"/>
        <v>26</v>
      </c>
      <c r="BD65" s="31">
        <f t="shared" si="8"/>
        <v>58.577586206896548</v>
      </c>
      <c r="BE65" s="4">
        <v>11.5</v>
      </c>
      <c r="BF65" s="4">
        <v>15.5</v>
      </c>
      <c r="BG65" s="30">
        <f t="shared" si="9"/>
        <v>22</v>
      </c>
      <c r="BH65" s="31">
        <f t="shared" si="10"/>
        <v>61.111111111111114</v>
      </c>
      <c r="BI65" s="4">
        <v>5.5</v>
      </c>
    </row>
    <row r="66" spans="1:61" x14ac:dyDescent="0.2">
      <c r="A66" s="2" t="s">
        <v>136</v>
      </c>
      <c r="B66" s="3" t="s">
        <v>137</v>
      </c>
      <c r="C66" s="3" t="s">
        <v>7</v>
      </c>
      <c r="D66" s="3" t="s">
        <v>8</v>
      </c>
      <c r="E66" s="3" t="s">
        <v>9</v>
      </c>
      <c r="F66" s="3" t="s">
        <v>162</v>
      </c>
      <c r="G66" s="3" t="s">
        <v>163</v>
      </c>
      <c r="H66" s="30">
        <f t="shared" si="0"/>
        <v>33</v>
      </c>
      <c r="I66" s="31">
        <f>VLOOKUP($A66,'Seed Base'!$A:$S,19,FALSE)</f>
        <v>56.441558944358619</v>
      </c>
      <c r="J66" s="4">
        <v>8</v>
      </c>
      <c r="K66" s="4">
        <v>5</v>
      </c>
      <c r="L66" s="4">
        <v>3</v>
      </c>
      <c r="M66" s="12">
        <v>714</v>
      </c>
      <c r="N66" s="4">
        <v>25.417118954576264</v>
      </c>
      <c r="O66" s="30">
        <f t="shared" si="1"/>
        <v>32</v>
      </c>
      <c r="P66" s="31">
        <f>VLOOKUP($A66,'Fert Base'!$A:$S,19,FALSE)</f>
        <v>57.623466141493708</v>
      </c>
      <c r="Q66" s="4">
        <v>4.8</v>
      </c>
      <c r="R66" s="4">
        <v>3</v>
      </c>
      <c r="S66" s="4">
        <v>6</v>
      </c>
      <c r="T66" s="12">
        <v>325</v>
      </c>
      <c r="U66" s="4">
        <v>845.7727569154589</v>
      </c>
      <c r="V66" s="30">
        <f t="shared" si="2"/>
        <v>15</v>
      </c>
      <c r="W66" s="31">
        <f>VLOOKUP($A66,'Mech Base'!$A:$Z,24,FALSE)</f>
        <v>63.749538676517261</v>
      </c>
      <c r="X66" s="4">
        <v>0.5</v>
      </c>
      <c r="Y66" s="4">
        <v>4.8333333333333339</v>
      </c>
      <c r="Z66" s="4">
        <v>5</v>
      </c>
      <c r="AA66" s="12" t="s">
        <v>153</v>
      </c>
      <c r="AB66" s="4">
        <v>219.68123556245683</v>
      </c>
      <c r="AC66" s="12">
        <v>6</v>
      </c>
      <c r="AD66" s="4">
        <v>2.1968123556245684</v>
      </c>
      <c r="AE66" s="30">
        <f t="shared" si="3"/>
        <v>26</v>
      </c>
      <c r="AF66" s="31">
        <f>100*AVERAGE(IF(VLOOKUP(A66,'Data Gaps'!A:O,15,FALSE)="X",'EBA2017'!AH66/4,AVERAGE(AG66/5,AH66/4)),AVERAGE(AI66/5,AJ66/8),IF(VLOOKUP(A66,'Data Gaps'!A:O,15,FALSE)="X",'EBA2017'!AL66/7,AVERAGE(AK66/7,AL66/7)))</f>
        <v>53.273809523809526</v>
      </c>
      <c r="AG66" s="4">
        <v>3.125</v>
      </c>
      <c r="AH66" s="4">
        <v>1</v>
      </c>
      <c r="AI66" s="4">
        <v>5</v>
      </c>
      <c r="AJ66" s="4">
        <v>6</v>
      </c>
      <c r="AK66" s="4">
        <v>0</v>
      </c>
      <c r="AL66" s="4">
        <v>4</v>
      </c>
      <c r="AM66" s="30">
        <f t="shared" si="4"/>
        <v>26</v>
      </c>
      <c r="AN66" s="31">
        <f>VLOOKUP($A66,'Mark Base'!$A:$Z,21,FALSE)</f>
        <v>61.354886805339781</v>
      </c>
      <c r="AO66" s="4">
        <v>8.3999999999999986</v>
      </c>
      <c r="AP66" s="4">
        <v>4.5</v>
      </c>
      <c r="AQ66" s="4">
        <v>5</v>
      </c>
      <c r="AR66" s="12">
        <v>3</v>
      </c>
      <c r="AS66" s="12">
        <v>5</v>
      </c>
      <c r="AT66" s="4">
        <v>0.91585441941597401</v>
      </c>
      <c r="AU66" s="30">
        <f t="shared" si="5"/>
        <v>40</v>
      </c>
      <c r="AV66" s="31">
        <f t="shared" si="6"/>
        <v>46.423235178414842</v>
      </c>
      <c r="AW66" s="4">
        <v>2.0000000000000004</v>
      </c>
      <c r="AX66" s="4" t="s">
        <v>155</v>
      </c>
      <c r="AY66" s="4" t="s">
        <v>155</v>
      </c>
      <c r="AZ66" s="4">
        <v>7.0000000000000009</v>
      </c>
      <c r="BA66" s="12">
        <v>10</v>
      </c>
      <c r="BB66" s="4">
        <v>3.1853779156556241</v>
      </c>
      <c r="BC66" s="30">
        <f t="shared" si="7"/>
        <v>29</v>
      </c>
      <c r="BD66" s="31">
        <f t="shared" si="8"/>
        <v>54.612068965517246</v>
      </c>
      <c r="BE66" s="4">
        <v>15.000000000000002</v>
      </c>
      <c r="BF66" s="4">
        <v>11.5</v>
      </c>
      <c r="BG66" s="30">
        <f t="shared" si="9"/>
        <v>43</v>
      </c>
      <c r="BH66" s="31">
        <f t="shared" si="10"/>
        <v>44.444444444444443</v>
      </c>
      <c r="BI66" s="4">
        <v>4</v>
      </c>
    </row>
    <row r="67" spans="1:61" x14ac:dyDescent="0.2">
      <c r="A67" s="2" t="s">
        <v>138</v>
      </c>
      <c r="B67" s="3" t="s">
        <v>139</v>
      </c>
      <c r="C67" s="3" t="s">
        <v>21</v>
      </c>
      <c r="D67" s="3" t="s">
        <v>22</v>
      </c>
      <c r="E67" s="3" t="s">
        <v>40</v>
      </c>
      <c r="F67" s="3" t="s">
        <v>160</v>
      </c>
      <c r="G67" s="3" t="s">
        <v>158</v>
      </c>
      <c r="H67" s="30">
        <f t="shared" si="0"/>
        <v>9</v>
      </c>
      <c r="I67" s="31">
        <f>VLOOKUP($A67,'Seed Base'!$A:$S,19,FALSE)</f>
        <v>76.463089099482048</v>
      </c>
      <c r="J67" s="4">
        <v>10</v>
      </c>
      <c r="K67" s="4">
        <v>4</v>
      </c>
      <c r="L67" s="4">
        <v>8.25</v>
      </c>
      <c r="M67" s="12">
        <v>305</v>
      </c>
      <c r="N67" s="4">
        <v>4.9781873335624134</v>
      </c>
      <c r="O67" s="30">
        <f t="shared" si="1"/>
        <v>24</v>
      </c>
      <c r="P67" s="31">
        <f>VLOOKUP($A67,'Fert Base'!$A:$S,19,FALSE)</f>
        <v>65.884733763256534</v>
      </c>
      <c r="Q67" s="4">
        <v>4</v>
      </c>
      <c r="R67" s="4">
        <v>4.5000000000000009</v>
      </c>
      <c r="S67" s="4">
        <v>3</v>
      </c>
      <c r="T67" s="12">
        <v>11</v>
      </c>
      <c r="U67" s="4">
        <v>12.632110608757793</v>
      </c>
      <c r="V67" s="30">
        <f t="shared" si="2"/>
        <v>56</v>
      </c>
      <c r="W67" s="31">
        <f>VLOOKUP($A67,'Mech Base'!$A:$Z,24,FALSE)</f>
        <v>20</v>
      </c>
      <c r="X67" s="4">
        <v>0</v>
      </c>
      <c r="Y67" s="4">
        <v>0</v>
      </c>
      <c r="Z67" s="4">
        <v>5</v>
      </c>
      <c r="AA67" s="12" t="s">
        <v>155</v>
      </c>
      <c r="AB67" s="4" t="s">
        <v>155</v>
      </c>
      <c r="AC67" s="12" t="s">
        <v>155</v>
      </c>
      <c r="AD67" s="4" t="s">
        <v>155</v>
      </c>
      <c r="AE67" s="30">
        <f t="shared" si="3"/>
        <v>19</v>
      </c>
      <c r="AF67" s="31">
        <f>100*AVERAGE(IF(VLOOKUP(A67,'Data Gaps'!A:O,15,FALSE)="X",'EBA2017'!AH67/4,AVERAGE(AG67/5,AH67/4)),AVERAGE(AI67/5,AJ67/8),IF(VLOOKUP(A67,'Data Gaps'!A:O,15,FALSE)="X",'EBA2017'!AL67/7,AVERAGE(AK67/7,AL67/7)))</f>
        <v>59.071428571428577</v>
      </c>
      <c r="AG67" s="4">
        <v>3.65</v>
      </c>
      <c r="AH67" s="4">
        <v>3.5</v>
      </c>
      <c r="AI67" s="4">
        <v>4.25</v>
      </c>
      <c r="AJ67" s="4">
        <v>3</v>
      </c>
      <c r="AK67" s="4">
        <v>0</v>
      </c>
      <c r="AL67" s="4">
        <v>5</v>
      </c>
      <c r="AM67" s="30">
        <f t="shared" si="4"/>
        <v>15</v>
      </c>
      <c r="AN67" s="31">
        <f>VLOOKUP($A67,'Mark Base'!$A:$Z,21,FALSE)</f>
        <v>71.678819171058763</v>
      </c>
      <c r="AO67" s="4">
        <v>10.1</v>
      </c>
      <c r="AP67" s="4">
        <v>4.5</v>
      </c>
      <c r="AQ67" s="4">
        <v>5.5</v>
      </c>
      <c r="AR67" s="12">
        <v>1</v>
      </c>
      <c r="AS67" s="12">
        <v>2</v>
      </c>
      <c r="AT67" s="4">
        <v>0.2486916581268519</v>
      </c>
      <c r="AU67" s="30">
        <f t="shared" si="5"/>
        <v>11</v>
      </c>
      <c r="AV67" s="31">
        <f t="shared" si="6"/>
        <v>72.334710005006073</v>
      </c>
      <c r="AW67" s="4">
        <v>5.5</v>
      </c>
      <c r="AX67" s="4">
        <v>2</v>
      </c>
      <c r="AY67" s="4">
        <v>0</v>
      </c>
      <c r="AZ67" s="4">
        <v>5.9999999999999991</v>
      </c>
      <c r="BA67" s="12">
        <v>32.5</v>
      </c>
      <c r="BB67" s="4">
        <v>0</v>
      </c>
      <c r="BC67" s="30">
        <f t="shared" si="7"/>
        <v>25</v>
      </c>
      <c r="BD67" s="31">
        <f t="shared" si="8"/>
        <v>59.396551724137936</v>
      </c>
      <c r="BE67" s="4">
        <v>18.5</v>
      </c>
      <c r="BF67" s="4">
        <v>11</v>
      </c>
      <c r="BG67" s="30">
        <f t="shared" si="9"/>
        <v>37</v>
      </c>
      <c r="BH67" s="31">
        <f t="shared" si="10"/>
        <v>50</v>
      </c>
      <c r="BI67" s="4">
        <v>4.5</v>
      </c>
    </row>
    <row r="68" spans="1:61" x14ac:dyDescent="0.2">
      <c r="A68" s="2" t="s">
        <v>140</v>
      </c>
      <c r="B68" s="3" t="s">
        <v>141</v>
      </c>
      <c r="C68" s="3" t="s">
        <v>32</v>
      </c>
      <c r="D68" s="3" t="s">
        <v>33</v>
      </c>
      <c r="E68" s="3" t="s">
        <v>9</v>
      </c>
      <c r="F68" s="3" t="s">
        <v>162</v>
      </c>
      <c r="G68" s="3" t="s">
        <v>158</v>
      </c>
      <c r="H68" s="30">
        <f t="shared" si="0"/>
        <v>43</v>
      </c>
      <c r="I68" s="31">
        <f>VLOOKUP($A68,'Seed Base'!$A:$S,19,FALSE)</f>
        <v>48.305344709156643</v>
      </c>
      <c r="J68" s="4">
        <v>6</v>
      </c>
      <c r="K68" s="4">
        <v>5</v>
      </c>
      <c r="L68" s="4">
        <v>5</v>
      </c>
      <c r="M68" s="12">
        <v>901</v>
      </c>
      <c r="N68" s="4">
        <v>406.21881409881706</v>
      </c>
      <c r="O68" s="30">
        <f t="shared" si="1"/>
        <v>11</v>
      </c>
      <c r="P68" s="31">
        <f>VLOOKUP($A68,'Fert Base'!$A:$S,19,FALSE)</f>
        <v>74.870468295422683</v>
      </c>
      <c r="Q68" s="4">
        <v>6</v>
      </c>
      <c r="R68" s="4">
        <v>5</v>
      </c>
      <c r="S68" s="4">
        <v>3</v>
      </c>
      <c r="T68" s="12">
        <v>15</v>
      </c>
      <c r="U68" s="4">
        <v>5.1767676767676765</v>
      </c>
      <c r="V68" s="30">
        <f t="shared" si="2"/>
        <v>10</v>
      </c>
      <c r="W68" s="31">
        <f>VLOOKUP($A68,'Mech Base'!$A:$Z,24,FALSE)</f>
        <v>74.182919577855571</v>
      </c>
      <c r="X68" s="4">
        <v>2</v>
      </c>
      <c r="Y68" s="4">
        <v>4.333333333333333</v>
      </c>
      <c r="Z68" s="4">
        <v>5</v>
      </c>
      <c r="AA68" s="12">
        <v>11</v>
      </c>
      <c r="AB68" s="4">
        <v>0.46372010741874092</v>
      </c>
      <c r="AC68" s="12">
        <v>10</v>
      </c>
      <c r="AD68" s="4">
        <v>3.4779008056405569</v>
      </c>
      <c r="AE68" s="30">
        <f t="shared" si="3"/>
        <v>30</v>
      </c>
      <c r="AF68" s="31">
        <f>100*AVERAGE(IF(VLOOKUP(A68,'Data Gaps'!A:O,15,FALSE)="X",'EBA2017'!AH68/4,AVERAGE(AG68/5,AH68/4)),AVERAGE(AI68/5,AJ68/8),IF(VLOOKUP(A68,'Data Gaps'!A:O,15,FALSE)="X",'EBA2017'!AL68/7,AVERAGE(AK68/7,AL68/7)))</f>
        <v>51.19047619047619</v>
      </c>
      <c r="AG68" s="4">
        <v>0</v>
      </c>
      <c r="AH68" s="4">
        <v>3</v>
      </c>
      <c r="AI68" s="4">
        <v>0</v>
      </c>
      <c r="AJ68" s="4">
        <v>6</v>
      </c>
      <c r="AK68" s="4">
        <v>5</v>
      </c>
      <c r="AL68" s="4">
        <v>6</v>
      </c>
      <c r="AM68" s="30">
        <f t="shared" si="4"/>
        <v>31</v>
      </c>
      <c r="AN68" s="31">
        <f>VLOOKUP($A68,'Mark Base'!$A:$Z,21,FALSE)</f>
        <v>58.339757779851688</v>
      </c>
      <c r="AO68" s="4">
        <v>8.3000000000000007</v>
      </c>
      <c r="AP68" s="4">
        <v>5.5</v>
      </c>
      <c r="AQ68" s="4">
        <v>3.5</v>
      </c>
      <c r="AR68" s="12">
        <v>2</v>
      </c>
      <c r="AS68" s="12">
        <v>3</v>
      </c>
      <c r="AT68" s="4">
        <v>1.9429872500845244</v>
      </c>
      <c r="AU68" s="30">
        <f t="shared" si="5"/>
        <v>7</v>
      </c>
      <c r="AV68" s="31">
        <f t="shared" si="6"/>
        <v>79.991651540549967</v>
      </c>
      <c r="AW68" s="4">
        <v>5</v>
      </c>
      <c r="AX68" s="4">
        <v>3</v>
      </c>
      <c r="AY68" s="4">
        <v>0.46372010741874092</v>
      </c>
      <c r="AZ68" s="4">
        <v>7.0000000000000009</v>
      </c>
      <c r="BA68" s="12">
        <v>2</v>
      </c>
      <c r="BB68" s="4">
        <v>0.51009211816061506</v>
      </c>
      <c r="BC68" s="30">
        <f t="shared" si="7"/>
        <v>27</v>
      </c>
      <c r="BD68" s="31">
        <f t="shared" si="8"/>
        <v>58.534482758620697</v>
      </c>
      <c r="BE68" s="4">
        <v>18</v>
      </c>
      <c r="BF68" s="4">
        <v>11</v>
      </c>
      <c r="BG68" s="30">
        <f t="shared" si="9"/>
        <v>12</v>
      </c>
      <c r="BH68" s="31">
        <f t="shared" si="10"/>
        <v>77.777777777777786</v>
      </c>
      <c r="BI68" s="4">
        <v>7.0000000000000009</v>
      </c>
    </row>
    <row r="69" spans="1:61" x14ac:dyDescent="0.2">
      <c r="A69" s="2" t="s">
        <v>142</v>
      </c>
      <c r="B69" s="3" t="s">
        <v>143</v>
      </c>
      <c r="C69" s="3" t="s">
        <v>16</v>
      </c>
      <c r="D69" s="3" t="s">
        <v>17</v>
      </c>
      <c r="E69" s="3" t="s">
        <v>9</v>
      </c>
      <c r="F69" s="3" t="s">
        <v>162</v>
      </c>
      <c r="G69" s="3" t="s">
        <v>158</v>
      </c>
      <c r="H69" s="30">
        <f t="shared" si="0"/>
        <v>16</v>
      </c>
      <c r="I69" s="31">
        <f>VLOOKUP($A69,'Seed Base'!$A:$S,19,FALSE)</f>
        <v>69.356074397585388</v>
      </c>
      <c r="J69" s="4">
        <v>8</v>
      </c>
      <c r="K69" s="4">
        <v>5.5</v>
      </c>
      <c r="L69" s="4">
        <v>8</v>
      </c>
      <c r="M69" s="12">
        <v>544</v>
      </c>
      <c r="N69" s="4">
        <v>70.134228187919462</v>
      </c>
      <c r="O69" s="30">
        <f t="shared" si="1"/>
        <v>39</v>
      </c>
      <c r="P69" s="31">
        <f>VLOOKUP($A69,'Fert Base'!$A:$S,19,FALSE)</f>
        <v>52.287108936866701</v>
      </c>
      <c r="Q69" s="4">
        <v>2.8999999999999995</v>
      </c>
      <c r="R69" s="4">
        <v>3.5</v>
      </c>
      <c r="S69" s="4">
        <v>2.5000000000000004</v>
      </c>
      <c r="T69" s="12">
        <v>210</v>
      </c>
      <c r="U69" s="4">
        <v>226.58879292341911</v>
      </c>
      <c r="V69" s="30">
        <f t="shared" si="2"/>
        <v>46</v>
      </c>
      <c r="W69" s="31">
        <f>VLOOKUP($A69,'Mech Base'!$A:$Z,24,FALSE)</f>
        <v>35.011880279851596</v>
      </c>
      <c r="X69" s="4">
        <v>0.5</v>
      </c>
      <c r="Y69" s="4">
        <v>0.33333333333333326</v>
      </c>
      <c r="Z69" s="4">
        <v>5</v>
      </c>
      <c r="AA69" s="12" t="s">
        <v>155</v>
      </c>
      <c r="AB69" s="4" t="s">
        <v>155</v>
      </c>
      <c r="AC69" s="12">
        <v>16</v>
      </c>
      <c r="AD69" s="4">
        <v>7.6096591854960982</v>
      </c>
      <c r="AE69" s="30">
        <f t="shared" si="3"/>
        <v>14</v>
      </c>
      <c r="AF69" s="31">
        <f>100*AVERAGE(IF(VLOOKUP(A69,'Data Gaps'!A:O,15,FALSE)="X",'EBA2017'!AH69/4,AVERAGE(AG69/5,AH69/4)),AVERAGE(AI69/5,AJ69/8),IF(VLOOKUP(A69,'Data Gaps'!A:O,15,FALSE)="X",'EBA2017'!AL69/7,AVERAGE(AK69/7,AL69/7)))</f>
        <v>66.220238095238088</v>
      </c>
      <c r="AG69" s="4">
        <v>0</v>
      </c>
      <c r="AH69" s="4">
        <v>3.75</v>
      </c>
      <c r="AI69" s="4">
        <v>5</v>
      </c>
      <c r="AJ69" s="4">
        <v>6</v>
      </c>
      <c r="AK69" s="4">
        <v>5</v>
      </c>
      <c r="AL69" s="4">
        <v>4</v>
      </c>
      <c r="AM69" s="30">
        <f t="shared" si="4"/>
        <v>50</v>
      </c>
      <c r="AN69" s="31">
        <f>VLOOKUP($A69,'Mark Base'!$A:$Z,21,FALSE)</f>
        <v>45.923390298995635</v>
      </c>
      <c r="AO69" s="4">
        <v>10.25</v>
      </c>
      <c r="AP69" s="4">
        <v>2</v>
      </c>
      <c r="AQ69" s="4">
        <v>5</v>
      </c>
      <c r="AR69" s="12">
        <v>4</v>
      </c>
      <c r="AS69" s="12">
        <v>9</v>
      </c>
      <c r="AT69" s="4">
        <v>2.3724231578311361</v>
      </c>
      <c r="AU69" s="30">
        <f t="shared" si="5"/>
        <v>23</v>
      </c>
      <c r="AV69" s="31">
        <f t="shared" si="6"/>
        <v>66.593894882486111</v>
      </c>
      <c r="AW69" s="4">
        <v>4.5000000000000009</v>
      </c>
      <c r="AX69" s="4">
        <v>45.5</v>
      </c>
      <c r="AY69" s="4">
        <v>4.1897888221319697</v>
      </c>
      <c r="AZ69" s="4">
        <v>5.9999999999999991</v>
      </c>
      <c r="BA69" s="12">
        <v>1</v>
      </c>
      <c r="BB69" s="4">
        <v>7.7743859255115426</v>
      </c>
      <c r="BC69" s="30">
        <f t="shared" si="7"/>
        <v>16</v>
      </c>
      <c r="BD69" s="31">
        <f t="shared" si="8"/>
        <v>67.931034482758605</v>
      </c>
      <c r="BE69" s="4">
        <v>22</v>
      </c>
      <c r="BF69" s="4">
        <v>12</v>
      </c>
      <c r="BG69" s="30">
        <f t="shared" si="9"/>
        <v>22</v>
      </c>
      <c r="BH69" s="31">
        <f t="shared" si="10"/>
        <v>61.111111111111114</v>
      </c>
      <c r="BI69" s="4">
        <v>5.5</v>
      </c>
    </row>
    <row r="70" spans="1:61" x14ac:dyDescent="0.2">
      <c r="A70" s="2" t="s">
        <v>144</v>
      </c>
      <c r="B70" s="3" t="s">
        <v>145</v>
      </c>
      <c r="C70" s="3" t="s">
        <v>16</v>
      </c>
      <c r="D70" s="3" t="s">
        <v>17</v>
      </c>
      <c r="E70" s="3" t="s">
        <v>18</v>
      </c>
      <c r="F70" s="3" t="s">
        <v>160</v>
      </c>
      <c r="G70" s="3" t="s">
        <v>158</v>
      </c>
      <c r="H70" s="30">
        <f t="shared" si="0"/>
        <v>15</v>
      </c>
      <c r="I70" s="31">
        <f>VLOOKUP($A70,'Seed Base'!$A:$S,19,FALSE)</f>
        <v>69.65117903603479</v>
      </c>
      <c r="J70" s="4">
        <v>10</v>
      </c>
      <c r="K70" s="4">
        <v>4</v>
      </c>
      <c r="L70" s="4">
        <v>8.5</v>
      </c>
      <c r="M70" s="12">
        <v>607</v>
      </c>
      <c r="N70" s="4">
        <v>41.17647058823529</v>
      </c>
      <c r="O70" s="30">
        <f t="shared" si="1"/>
        <v>29</v>
      </c>
      <c r="P70" s="31">
        <f>VLOOKUP($A70,'Fert Base'!$A:$S,19,FALSE)</f>
        <v>61.855103487157706</v>
      </c>
      <c r="Q70" s="4">
        <v>4.4000000000000004</v>
      </c>
      <c r="R70" s="4">
        <v>3</v>
      </c>
      <c r="S70" s="4">
        <v>3</v>
      </c>
      <c r="T70" s="12">
        <v>15</v>
      </c>
      <c r="U70" s="4">
        <v>15.882352941176469</v>
      </c>
      <c r="V70" s="30">
        <f t="shared" si="2"/>
        <v>20</v>
      </c>
      <c r="W70" s="31">
        <f>VLOOKUP($A70,'Mech Base'!$A:$Z,24,FALSE)</f>
        <v>59.811303893299218</v>
      </c>
      <c r="X70" s="4">
        <v>4.5</v>
      </c>
      <c r="Y70" s="4">
        <v>4.6666666666666661</v>
      </c>
      <c r="Z70" s="4">
        <v>4</v>
      </c>
      <c r="AA70" s="12" t="s">
        <v>155</v>
      </c>
      <c r="AB70" s="4" t="s">
        <v>155</v>
      </c>
      <c r="AC70" s="12">
        <v>3</v>
      </c>
      <c r="AD70" s="4">
        <v>18.823529411764707</v>
      </c>
      <c r="AE70" s="30">
        <f t="shared" si="3"/>
        <v>49</v>
      </c>
      <c r="AF70" s="31">
        <f>100*AVERAGE(IF(VLOOKUP(A70,'Data Gaps'!A:O,15,FALSE)="X",'EBA2017'!AH70/4,AVERAGE(AG70/5,AH70/4)),AVERAGE(AI70/5,AJ70/8),IF(VLOOKUP(A70,'Data Gaps'!A:O,15,FALSE)="X",'EBA2017'!AL70/7,AVERAGE(AK70/7,AL70/7)))</f>
        <v>38.75</v>
      </c>
      <c r="AG70" s="4">
        <v>0</v>
      </c>
      <c r="AH70" s="4">
        <v>0</v>
      </c>
      <c r="AI70" s="4">
        <v>3.5</v>
      </c>
      <c r="AJ70" s="4">
        <v>5</v>
      </c>
      <c r="AK70" s="4">
        <v>4</v>
      </c>
      <c r="AL70" s="4">
        <v>3</v>
      </c>
      <c r="AM70" s="30">
        <f t="shared" si="4"/>
        <v>42</v>
      </c>
      <c r="AN70" s="31">
        <f>VLOOKUP($A70,'Mark Base'!$A:$Z,21,FALSE)</f>
        <v>52.986251347584556</v>
      </c>
      <c r="AO70" s="4">
        <v>7.5</v>
      </c>
      <c r="AP70" s="4">
        <v>2</v>
      </c>
      <c r="AQ70" s="4" t="s">
        <v>153</v>
      </c>
      <c r="AR70" s="12">
        <v>1</v>
      </c>
      <c r="AS70" s="12" t="s">
        <v>153</v>
      </c>
      <c r="AT70" s="4">
        <v>1.1764705882352942</v>
      </c>
      <c r="AU70" s="30">
        <f t="shared" si="5"/>
        <v>29</v>
      </c>
      <c r="AV70" s="31">
        <f t="shared" si="6"/>
        <v>62.265605313363004</v>
      </c>
      <c r="AW70" s="4">
        <v>5.5</v>
      </c>
      <c r="AX70" s="4">
        <v>5</v>
      </c>
      <c r="AY70" s="4">
        <v>14.705882352941178</v>
      </c>
      <c r="AZ70" s="4">
        <v>4</v>
      </c>
      <c r="BA70" s="12">
        <v>7</v>
      </c>
      <c r="BB70" s="4">
        <v>17.647058823529413</v>
      </c>
      <c r="BC70" s="30">
        <f t="shared" si="7"/>
        <v>31</v>
      </c>
      <c r="BD70" s="31">
        <f t="shared" si="8"/>
        <v>52.28448275862069</v>
      </c>
      <c r="BE70" s="4">
        <v>18</v>
      </c>
      <c r="BF70" s="4">
        <v>8.5</v>
      </c>
      <c r="BG70" s="30">
        <f t="shared" si="9"/>
        <v>52</v>
      </c>
      <c r="BH70" s="31">
        <f t="shared" si="10"/>
        <v>38.888888888888893</v>
      </c>
      <c r="BI70" s="4">
        <v>3.5000000000000004</v>
      </c>
    </row>
  </sheetData>
  <mergeCells count="17">
    <mergeCell ref="BG7:BI7"/>
    <mergeCell ref="A7:G7"/>
    <mergeCell ref="H7:N7"/>
    <mergeCell ref="O7:U7"/>
    <mergeCell ref="V7:AD7"/>
    <mergeCell ref="AE7:AL7"/>
    <mergeCell ref="AM7:AT7"/>
    <mergeCell ref="AU7:BB7"/>
    <mergeCell ref="BC7:BF7"/>
    <mergeCell ref="AM1:AT1"/>
    <mergeCell ref="AU1:BB1"/>
    <mergeCell ref="BC1:BF1"/>
    <mergeCell ref="BG1:BI1"/>
    <mergeCell ref="H1:N1"/>
    <mergeCell ref="O1:U1"/>
    <mergeCell ref="V1:AD1"/>
    <mergeCell ref="AE1:AL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workbookViewId="0">
      <selection sqref="A1:N1048576"/>
    </sheetView>
  </sheetViews>
  <sheetFormatPr defaultRowHeight="14.5" x14ac:dyDescent="0.35"/>
  <sheetData>
    <row r="1" spans="1:15" x14ac:dyDescent="0.35">
      <c r="A1" t="s">
        <v>0</v>
      </c>
      <c r="B1" t="s">
        <v>1</v>
      </c>
      <c r="C1" t="s">
        <v>187</v>
      </c>
      <c r="D1" t="s">
        <v>188</v>
      </c>
      <c r="E1" t="s">
        <v>191</v>
      </c>
      <c r="F1" t="s">
        <v>192</v>
      </c>
      <c r="G1" t="s">
        <v>193</v>
      </c>
      <c r="H1" t="s">
        <v>194</v>
      </c>
      <c r="I1" t="s">
        <v>216</v>
      </c>
      <c r="J1" t="s">
        <v>195</v>
      </c>
      <c r="K1" t="s">
        <v>196</v>
      </c>
      <c r="L1" t="s">
        <v>197</v>
      </c>
      <c r="M1" t="s">
        <v>198</v>
      </c>
      <c r="N1" t="s">
        <v>199</v>
      </c>
      <c r="O1" t="s">
        <v>149</v>
      </c>
    </row>
    <row r="2" spans="1:15" x14ac:dyDescent="0.35">
      <c r="A2" t="s">
        <v>5</v>
      </c>
      <c r="B2" t="s">
        <v>6</v>
      </c>
      <c r="C2">
        <v>0</v>
      </c>
      <c r="D2">
        <v>0</v>
      </c>
      <c r="E2">
        <v>0</v>
      </c>
      <c r="F2">
        <v>0</v>
      </c>
      <c r="G2">
        <v>0</v>
      </c>
      <c r="H2">
        <v>0</v>
      </c>
      <c r="I2">
        <v>0</v>
      </c>
      <c r="J2">
        <v>0</v>
      </c>
      <c r="K2">
        <v>0</v>
      </c>
      <c r="L2">
        <v>0</v>
      </c>
      <c r="M2">
        <v>0</v>
      </c>
      <c r="N2">
        <v>0</v>
      </c>
    </row>
    <row r="3" spans="1:15" x14ac:dyDescent="0.35">
      <c r="A3" t="s">
        <v>28</v>
      </c>
      <c r="B3" t="s">
        <v>29</v>
      </c>
      <c r="C3">
        <v>0</v>
      </c>
      <c r="D3">
        <v>0</v>
      </c>
      <c r="E3">
        <v>0</v>
      </c>
      <c r="F3">
        <v>0</v>
      </c>
      <c r="G3">
        <v>1</v>
      </c>
      <c r="H3">
        <v>0</v>
      </c>
      <c r="I3">
        <v>0</v>
      </c>
      <c r="J3">
        <v>0</v>
      </c>
      <c r="K3">
        <v>0</v>
      </c>
      <c r="L3">
        <v>0</v>
      </c>
      <c r="M3">
        <v>0</v>
      </c>
      <c r="N3">
        <v>0</v>
      </c>
    </row>
    <row r="4" spans="1:15" x14ac:dyDescent="0.35">
      <c r="A4" t="s">
        <v>14</v>
      </c>
      <c r="B4" t="s">
        <v>15</v>
      </c>
      <c r="C4">
        <v>0</v>
      </c>
      <c r="D4">
        <v>0</v>
      </c>
      <c r="E4">
        <v>0</v>
      </c>
      <c r="F4">
        <v>0</v>
      </c>
      <c r="G4">
        <v>0</v>
      </c>
      <c r="H4">
        <v>1</v>
      </c>
      <c r="I4">
        <v>0</v>
      </c>
      <c r="J4">
        <v>0</v>
      </c>
      <c r="K4">
        <v>0</v>
      </c>
      <c r="L4">
        <v>0</v>
      </c>
      <c r="M4">
        <v>0</v>
      </c>
      <c r="N4">
        <v>0</v>
      </c>
    </row>
    <row r="5" spans="1:15" x14ac:dyDescent="0.35">
      <c r="A5" t="s">
        <v>26</v>
      </c>
      <c r="B5" t="s">
        <v>27</v>
      </c>
      <c r="C5">
        <v>0</v>
      </c>
      <c r="D5">
        <v>0</v>
      </c>
      <c r="E5">
        <v>0</v>
      </c>
      <c r="F5">
        <v>0</v>
      </c>
      <c r="G5">
        <v>0</v>
      </c>
      <c r="H5">
        <v>0</v>
      </c>
      <c r="I5">
        <v>0</v>
      </c>
      <c r="J5">
        <v>0</v>
      </c>
      <c r="K5">
        <v>0</v>
      </c>
      <c r="L5">
        <v>0</v>
      </c>
      <c r="M5">
        <v>0</v>
      </c>
      <c r="N5">
        <v>0</v>
      </c>
    </row>
    <row r="6" spans="1:15" x14ac:dyDescent="0.35">
      <c r="A6" t="s">
        <v>10</v>
      </c>
      <c r="B6" t="s">
        <v>11</v>
      </c>
      <c r="C6">
        <v>0</v>
      </c>
      <c r="D6">
        <v>0</v>
      </c>
      <c r="E6">
        <v>0</v>
      </c>
      <c r="F6">
        <v>0</v>
      </c>
      <c r="G6">
        <v>0</v>
      </c>
      <c r="H6">
        <v>0</v>
      </c>
      <c r="I6">
        <v>0</v>
      </c>
      <c r="J6">
        <v>0</v>
      </c>
      <c r="K6">
        <v>0</v>
      </c>
      <c r="L6">
        <v>0</v>
      </c>
      <c r="M6">
        <v>0</v>
      </c>
      <c r="N6">
        <v>0</v>
      </c>
    </row>
    <row r="7" spans="1:15" x14ac:dyDescent="0.35">
      <c r="A7" t="s">
        <v>23</v>
      </c>
      <c r="B7" t="s">
        <v>24</v>
      </c>
      <c r="C7">
        <v>0</v>
      </c>
      <c r="D7">
        <v>0</v>
      </c>
      <c r="E7">
        <v>0</v>
      </c>
      <c r="F7">
        <v>0</v>
      </c>
      <c r="G7">
        <v>0</v>
      </c>
      <c r="H7">
        <v>0</v>
      </c>
      <c r="I7">
        <v>0</v>
      </c>
      <c r="J7">
        <v>0</v>
      </c>
      <c r="K7">
        <v>0</v>
      </c>
      <c r="L7">
        <v>0</v>
      </c>
      <c r="M7">
        <v>0</v>
      </c>
      <c r="N7">
        <v>0</v>
      </c>
    </row>
    <row r="8" spans="1:15" x14ac:dyDescent="0.35">
      <c r="A8" t="s">
        <v>19</v>
      </c>
      <c r="B8" t="s">
        <v>20</v>
      </c>
      <c r="C8">
        <v>0</v>
      </c>
      <c r="D8">
        <v>0</v>
      </c>
      <c r="E8">
        <v>0</v>
      </c>
      <c r="F8">
        <v>0</v>
      </c>
      <c r="G8">
        <v>0</v>
      </c>
      <c r="H8">
        <v>0</v>
      </c>
      <c r="I8">
        <v>0</v>
      </c>
      <c r="J8">
        <v>0</v>
      </c>
      <c r="K8">
        <v>0</v>
      </c>
      <c r="L8">
        <v>0</v>
      </c>
      <c r="M8">
        <v>0</v>
      </c>
      <c r="N8">
        <v>0</v>
      </c>
    </row>
    <row r="9" spans="1:15" x14ac:dyDescent="0.35">
      <c r="A9" t="s">
        <v>36</v>
      </c>
      <c r="B9" t="s">
        <v>37</v>
      </c>
      <c r="C9">
        <v>0</v>
      </c>
      <c r="D9">
        <v>0</v>
      </c>
      <c r="E9">
        <v>0</v>
      </c>
      <c r="F9">
        <v>0</v>
      </c>
      <c r="G9">
        <v>0</v>
      </c>
      <c r="H9">
        <v>0</v>
      </c>
      <c r="I9">
        <v>0</v>
      </c>
      <c r="J9">
        <v>0</v>
      </c>
      <c r="K9">
        <v>0</v>
      </c>
      <c r="L9">
        <v>0</v>
      </c>
      <c r="M9">
        <v>0</v>
      </c>
      <c r="N9">
        <v>0</v>
      </c>
    </row>
    <row r="10" spans="1:15" x14ac:dyDescent="0.35">
      <c r="A10" t="s">
        <v>43</v>
      </c>
      <c r="B10" t="s">
        <v>44</v>
      </c>
      <c r="C10">
        <v>0</v>
      </c>
      <c r="D10">
        <v>0</v>
      </c>
      <c r="E10">
        <v>0</v>
      </c>
      <c r="F10">
        <v>0</v>
      </c>
      <c r="G10">
        <v>0</v>
      </c>
      <c r="H10">
        <v>0</v>
      </c>
      <c r="I10">
        <v>0</v>
      </c>
      <c r="J10">
        <v>0</v>
      </c>
      <c r="K10">
        <v>0</v>
      </c>
      <c r="L10">
        <v>0</v>
      </c>
      <c r="M10">
        <v>0</v>
      </c>
      <c r="N10">
        <v>0</v>
      </c>
    </row>
    <row r="11" spans="1:15" x14ac:dyDescent="0.35">
      <c r="A11" t="s">
        <v>34</v>
      </c>
      <c r="B11" t="s">
        <v>35</v>
      </c>
      <c r="C11">
        <v>0</v>
      </c>
      <c r="D11">
        <v>0</v>
      </c>
      <c r="E11">
        <v>0</v>
      </c>
      <c r="F11">
        <v>0</v>
      </c>
      <c r="G11">
        <v>0</v>
      </c>
      <c r="H11">
        <v>1</v>
      </c>
      <c r="I11">
        <v>0</v>
      </c>
      <c r="J11">
        <v>0</v>
      </c>
      <c r="K11">
        <v>0</v>
      </c>
      <c r="L11">
        <v>0</v>
      </c>
      <c r="M11">
        <v>0</v>
      </c>
      <c r="N11">
        <v>0</v>
      </c>
    </row>
    <row r="12" spans="1:15" x14ac:dyDescent="0.35">
      <c r="A12" t="s">
        <v>41</v>
      </c>
      <c r="B12" t="s">
        <v>42</v>
      </c>
      <c r="C12">
        <v>0</v>
      </c>
      <c r="D12">
        <v>0</v>
      </c>
      <c r="E12">
        <v>0</v>
      </c>
      <c r="F12">
        <v>0</v>
      </c>
      <c r="G12">
        <v>0</v>
      </c>
      <c r="H12">
        <v>0</v>
      </c>
      <c r="I12">
        <v>0</v>
      </c>
      <c r="J12">
        <v>0</v>
      </c>
      <c r="K12">
        <v>0</v>
      </c>
      <c r="L12">
        <v>0</v>
      </c>
      <c r="M12">
        <v>0</v>
      </c>
      <c r="N12">
        <v>0</v>
      </c>
    </row>
    <row r="13" spans="1:15" x14ac:dyDescent="0.35">
      <c r="A13" t="s">
        <v>45</v>
      </c>
      <c r="B13" t="s">
        <v>46</v>
      </c>
      <c r="C13">
        <v>0</v>
      </c>
      <c r="D13">
        <v>0</v>
      </c>
      <c r="E13">
        <v>0</v>
      </c>
      <c r="F13">
        <v>0</v>
      </c>
      <c r="G13">
        <v>0</v>
      </c>
      <c r="H13">
        <v>0</v>
      </c>
      <c r="I13">
        <v>0</v>
      </c>
      <c r="J13">
        <v>0</v>
      </c>
      <c r="K13">
        <v>0</v>
      </c>
      <c r="L13">
        <v>0</v>
      </c>
      <c r="M13">
        <v>0</v>
      </c>
      <c r="N13">
        <v>0</v>
      </c>
      <c r="O13" t="s">
        <v>234</v>
      </c>
    </row>
    <row r="14" spans="1:15" x14ac:dyDescent="0.35">
      <c r="A14" t="s">
        <v>47</v>
      </c>
      <c r="B14" t="s">
        <v>48</v>
      </c>
      <c r="C14">
        <v>0</v>
      </c>
      <c r="D14">
        <v>0</v>
      </c>
      <c r="E14">
        <v>0</v>
      </c>
      <c r="F14">
        <v>0</v>
      </c>
      <c r="G14">
        <v>0</v>
      </c>
      <c r="H14">
        <v>2</v>
      </c>
      <c r="I14">
        <v>1</v>
      </c>
      <c r="J14">
        <v>0</v>
      </c>
      <c r="K14">
        <v>1</v>
      </c>
      <c r="L14">
        <v>0</v>
      </c>
      <c r="M14">
        <v>0</v>
      </c>
      <c r="N14">
        <v>1</v>
      </c>
    </row>
    <row r="15" spans="1:15" x14ac:dyDescent="0.35">
      <c r="A15" t="s">
        <v>120</v>
      </c>
      <c r="B15" t="s">
        <v>121</v>
      </c>
      <c r="C15">
        <v>0</v>
      </c>
      <c r="D15">
        <v>0</v>
      </c>
      <c r="E15">
        <v>0</v>
      </c>
      <c r="F15">
        <v>0</v>
      </c>
      <c r="G15">
        <v>0</v>
      </c>
      <c r="H15">
        <v>0</v>
      </c>
      <c r="I15">
        <v>0</v>
      </c>
      <c r="J15">
        <v>0</v>
      </c>
      <c r="K15">
        <v>0</v>
      </c>
      <c r="L15">
        <v>0</v>
      </c>
      <c r="M15">
        <v>0</v>
      </c>
      <c r="N15">
        <v>1</v>
      </c>
      <c r="O15" t="s">
        <v>234</v>
      </c>
    </row>
    <row r="16" spans="1:15" x14ac:dyDescent="0.35">
      <c r="A16" t="s">
        <v>51</v>
      </c>
      <c r="B16" t="s">
        <v>52</v>
      </c>
      <c r="C16">
        <v>0</v>
      </c>
      <c r="D16">
        <v>0</v>
      </c>
      <c r="E16">
        <v>0</v>
      </c>
      <c r="F16">
        <v>0</v>
      </c>
      <c r="G16">
        <v>0</v>
      </c>
      <c r="H16">
        <v>0</v>
      </c>
      <c r="I16">
        <v>0</v>
      </c>
      <c r="J16">
        <v>0</v>
      </c>
      <c r="K16">
        <v>0</v>
      </c>
      <c r="L16">
        <v>0</v>
      </c>
      <c r="M16">
        <v>0</v>
      </c>
      <c r="N16">
        <v>0</v>
      </c>
    </row>
    <row r="17" spans="1:15" x14ac:dyDescent="0.35">
      <c r="A17" t="s">
        <v>53</v>
      </c>
      <c r="B17" t="s">
        <v>54</v>
      </c>
      <c r="C17">
        <v>0</v>
      </c>
      <c r="D17">
        <v>0</v>
      </c>
      <c r="E17">
        <v>0</v>
      </c>
      <c r="F17">
        <v>0</v>
      </c>
      <c r="G17">
        <v>0</v>
      </c>
      <c r="H17">
        <v>0</v>
      </c>
      <c r="I17">
        <v>0</v>
      </c>
      <c r="J17">
        <v>0</v>
      </c>
      <c r="K17">
        <v>0</v>
      </c>
      <c r="L17">
        <v>0</v>
      </c>
      <c r="M17">
        <v>0</v>
      </c>
      <c r="N17">
        <v>0</v>
      </c>
    </row>
    <row r="18" spans="1:15" x14ac:dyDescent="0.35">
      <c r="A18" t="s">
        <v>55</v>
      </c>
      <c r="B18" t="s">
        <v>56</v>
      </c>
      <c r="C18">
        <v>0</v>
      </c>
      <c r="D18">
        <v>0</v>
      </c>
      <c r="E18">
        <v>0</v>
      </c>
      <c r="F18">
        <v>0</v>
      </c>
      <c r="G18">
        <v>0</v>
      </c>
      <c r="H18">
        <v>0</v>
      </c>
      <c r="I18">
        <v>0</v>
      </c>
      <c r="J18">
        <v>0</v>
      </c>
      <c r="K18">
        <v>0</v>
      </c>
      <c r="L18">
        <v>0</v>
      </c>
      <c r="M18">
        <v>0</v>
      </c>
      <c r="N18">
        <v>1</v>
      </c>
    </row>
    <row r="19" spans="1:15" x14ac:dyDescent="0.35">
      <c r="A19" t="s">
        <v>57</v>
      </c>
      <c r="B19" t="s">
        <v>58</v>
      </c>
      <c r="C19">
        <v>0</v>
      </c>
      <c r="D19">
        <v>0</v>
      </c>
      <c r="E19">
        <v>0</v>
      </c>
      <c r="F19">
        <v>0</v>
      </c>
      <c r="G19">
        <v>0</v>
      </c>
      <c r="H19">
        <v>0</v>
      </c>
      <c r="I19">
        <v>0</v>
      </c>
      <c r="J19">
        <v>0</v>
      </c>
      <c r="K19">
        <v>0</v>
      </c>
      <c r="L19">
        <v>0</v>
      </c>
      <c r="M19">
        <v>1</v>
      </c>
      <c r="N19">
        <v>0</v>
      </c>
      <c r="O19" t="s">
        <v>234</v>
      </c>
    </row>
    <row r="20" spans="1:15" x14ac:dyDescent="0.35">
      <c r="A20" t="s">
        <v>59</v>
      </c>
      <c r="B20" t="s">
        <v>60</v>
      </c>
      <c r="C20">
        <v>0</v>
      </c>
      <c r="D20">
        <v>0</v>
      </c>
      <c r="E20">
        <v>0</v>
      </c>
      <c r="F20">
        <v>0</v>
      </c>
      <c r="G20">
        <v>0</v>
      </c>
      <c r="H20">
        <v>1</v>
      </c>
      <c r="I20">
        <v>0</v>
      </c>
      <c r="J20">
        <v>0</v>
      </c>
      <c r="K20">
        <v>0</v>
      </c>
      <c r="L20">
        <v>0</v>
      </c>
      <c r="M20">
        <v>0</v>
      </c>
      <c r="N20">
        <v>0</v>
      </c>
    </row>
    <row r="21" spans="1:15" x14ac:dyDescent="0.35">
      <c r="A21" t="s">
        <v>61</v>
      </c>
      <c r="B21" t="s">
        <v>62</v>
      </c>
      <c r="C21">
        <v>0</v>
      </c>
      <c r="D21">
        <v>0</v>
      </c>
      <c r="E21">
        <v>0</v>
      </c>
      <c r="F21">
        <v>0</v>
      </c>
      <c r="G21">
        <v>0</v>
      </c>
      <c r="H21">
        <v>0</v>
      </c>
      <c r="I21">
        <v>1</v>
      </c>
      <c r="J21">
        <v>0</v>
      </c>
      <c r="K21">
        <v>0</v>
      </c>
      <c r="L21">
        <v>0</v>
      </c>
      <c r="M21">
        <v>0</v>
      </c>
      <c r="N21">
        <v>4</v>
      </c>
    </row>
    <row r="22" spans="1:15" x14ac:dyDescent="0.35">
      <c r="A22" t="s">
        <v>63</v>
      </c>
      <c r="B22" t="s">
        <v>146</v>
      </c>
      <c r="C22">
        <v>0</v>
      </c>
      <c r="D22">
        <v>0</v>
      </c>
      <c r="E22">
        <v>0</v>
      </c>
      <c r="F22">
        <v>0</v>
      </c>
      <c r="G22">
        <v>0</v>
      </c>
      <c r="H22">
        <v>0</v>
      </c>
      <c r="I22">
        <v>0</v>
      </c>
      <c r="J22">
        <v>0</v>
      </c>
      <c r="K22">
        <v>0</v>
      </c>
      <c r="L22">
        <v>0</v>
      </c>
      <c r="M22">
        <v>0</v>
      </c>
      <c r="N22">
        <v>0</v>
      </c>
    </row>
    <row r="23" spans="1:15" x14ac:dyDescent="0.35">
      <c r="A23" t="s">
        <v>64</v>
      </c>
      <c r="B23" t="s">
        <v>65</v>
      </c>
      <c r="C23">
        <v>0</v>
      </c>
      <c r="D23">
        <v>0</v>
      </c>
      <c r="E23">
        <v>0</v>
      </c>
      <c r="F23">
        <v>0</v>
      </c>
      <c r="G23">
        <v>0</v>
      </c>
      <c r="H23">
        <v>0</v>
      </c>
      <c r="I23">
        <v>0</v>
      </c>
      <c r="J23">
        <v>0</v>
      </c>
      <c r="K23">
        <v>0</v>
      </c>
      <c r="L23">
        <v>0</v>
      </c>
      <c r="M23">
        <v>0</v>
      </c>
      <c r="N23">
        <v>0</v>
      </c>
      <c r="O23" t="s">
        <v>234</v>
      </c>
    </row>
    <row r="24" spans="1:15" x14ac:dyDescent="0.35">
      <c r="A24" t="s">
        <v>66</v>
      </c>
      <c r="B24" t="s">
        <v>67</v>
      </c>
      <c r="C24">
        <v>0</v>
      </c>
      <c r="D24">
        <v>0</v>
      </c>
      <c r="E24">
        <v>0</v>
      </c>
      <c r="F24">
        <v>0</v>
      </c>
      <c r="G24">
        <v>0</v>
      </c>
      <c r="H24">
        <v>0</v>
      </c>
      <c r="I24">
        <v>0</v>
      </c>
      <c r="J24">
        <v>0</v>
      </c>
      <c r="K24">
        <v>0</v>
      </c>
      <c r="L24">
        <v>0</v>
      </c>
      <c r="M24">
        <v>0</v>
      </c>
      <c r="N24">
        <v>0</v>
      </c>
    </row>
    <row r="25" spans="1:15" x14ac:dyDescent="0.35">
      <c r="A25" t="s">
        <v>68</v>
      </c>
      <c r="B25" t="s">
        <v>69</v>
      </c>
      <c r="C25">
        <v>0</v>
      </c>
      <c r="D25">
        <v>0</v>
      </c>
      <c r="E25">
        <v>0</v>
      </c>
      <c r="F25">
        <v>0</v>
      </c>
      <c r="G25">
        <v>0</v>
      </c>
      <c r="H25">
        <v>0</v>
      </c>
      <c r="I25">
        <v>0</v>
      </c>
      <c r="J25">
        <v>0</v>
      </c>
      <c r="K25">
        <v>0</v>
      </c>
      <c r="L25">
        <v>0</v>
      </c>
      <c r="M25">
        <v>0</v>
      </c>
      <c r="N25">
        <v>0</v>
      </c>
    </row>
    <row r="26" spans="1:15" x14ac:dyDescent="0.35">
      <c r="A26" t="s">
        <v>70</v>
      </c>
      <c r="B26" t="s">
        <v>71</v>
      </c>
      <c r="C26">
        <v>0</v>
      </c>
      <c r="D26">
        <v>0</v>
      </c>
      <c r="E26">
        <v>0</v>
      </c>
      <c r="F26">
        <v>0</v>
      </c>
      <c r="G26">
        <v>0</v>
      </c>
      <c r="H26">
        <v>0</v>
      </c>
      <c r="I26">
        <v>0</v>
      </c>
      <c r="J26">
        <v>0</v>
      </c>
      <c r="K26">
        <v>0</v>
      </c>
      <c r="L26">
        <v>0</v>
      </c>
      <c r="M26">
        <v>0</v>
      </c>
      <c r="N26">
        <v>0</v>
      </c>
    </row>
    <row r="27" spans="1:15" x14ac:dyDescent="0.35">
      <c r="A27" t="s">
        <v>74</v>
      </c>
      <c r="B27" t="s">
        <v>75</v>
      </c>
      <c r="C27">
        <v>0</v>
      </c>
      <c r="D27">
        <v>0</v>
      </c>
      <c r="E27">
        <v>0</v>
      </c>
      <c r="F27">
        <v>0</v>
      </c>
      <c r="G27">
        <v>0</v>
      </c>
      <c r="H27">
        <v>0</v>
      </c>
      <c r="I27">
        <v>0</v>
      </c>
      <c r="J27">
        <v>0</v>
      </c>
      <c r="K27">
        <v>0</v>
      </c>
      <c r="L27">
        <v>0</v>
      </c>
      <c r="M27">
        <v>0</v>
      </c>
      <c r="N27">
        <v>0</v>
      </c>
    </row>
    <row r="28" spans="1:15" x14ac:dyDescent="0.35">
      <c r="A28" t="s">
        <v>30</v>
      </c>
      <c r="B28" t="s">
        <v>31</v>
      </c>
      <c r="C28">
        <v>0</v>
      </c>
      <c r="D28">
        <v>0</v>
      </c>
      <c r="E28">
        <v>0</v>
      </c>
      <c r="F28">
        <v>0</v>
      </c>
      <c r="G28">
        <v>0</v>
      </c>
      <c r="H28">
        <v>0</v>
      </c>
      <c r="I28">
        <v>0</v>
      </c>
      <c r="J28">
        <v>0</v>
      </c>
      <c r="K28">
        <v>0</v>
      </c>
      <c r="L28">
        <v>0</v>
      </c>
      <c r="M28">
        <v>0</v>
      </c>
      <c r="N28">
        <v>0</v>
      </c>
    </row>
    <row r="29" spans="1:15" x14ac:dyDescent="0.35">
      <c r="A29" t="s">
        <v>72</v>
      </c>
      <c r="B29" t="s">
        <v>73</v>
      </c>
      <c r="C29">
        <v>1</v>
      </c>
      <c r="D29">
        <v>0</v>
      </c>
      <c r="E29">
        <v>1</v>
      </c>
      <c r="F29">
        <v>0</v>
      </c>
      <c r="G29">
        <v>0</v>
      </c>
      <c r="H29">
        <v>0</v>
      </c>
      <c r="I29">
        <v>0</v>
      </c>
      <c r="J29">
        <v>0</v>
      </c>
      <c r="K29">
        <v>0</v>
      </c>
      <c r="L29">
        <v>0</v>
      </c>
      <c r="M29">
        <v>0</v>
      </c>
      <c r="N29">
        <v>0</v>
      </c>
      <c r="O29" t="s">
        <v>234</v>
      </c>
    </row>
    <row r="30" spans="1:15" x14ac:dyDescent="0.35">
      <c r="A30" t="s">
        <v>76</v>
      </c>
      <c r="B30" t="s">
        <v>77</v>
      </c>
      <c r="C30">
        <v>0</v>
      </c>
      <c r="D30">
        <v>0</v>
      </c>
      <c r="E30">
        <v>0</v>
      </c>
      <c r="F30">
        <v>0</v>
      </c>
      <c r="G30">
        <v>0</v>
      </c>
      <c r="H30">
        <v>0</v>
      </c>
      <c r="I30">
        <v>0</v>
      </c>
      <c r="J30">
        <v>0</v>
      </c>
      <c r="K30">
        <v>0</v>
      </c>
      <c r="L30">
        <v>0</v>
      </c>
      <c r="M30">
        <v>0</v>
      </c>
      <c r="N30">
        <v>0</v>
      </c>
    </row>
    <row r="31" spans="1:15" x14ac:dyDescent="0.35">
      <c r="A31" t="s">
        <v>78</v>
      </c>
      <c r="B31" t="s">
        <v>79</v>
      </c>
      <c r="C31">
        <v>0</v>
      </c>
      <c r="D31">
        <v>0</v>
      </c>
      <c r="E31">
        <v>0</v>
      </c>
      <c r="F31">
        <v>0</v>
      </c>
      <c r="G31">
        <v>0</v>
      </c>
      <c r="H31">
        <v>0</v>
      </c>
      <c r="I31">
        <v>0</v>
      </c>
      <c r="J31">
        <v>0</v>
      </c>
      <c r="K31">
        <v>0</v>
      </c>
      <c r="L31">
        <v>0</v>
      </c>
      <c r="M31">
        <v>0</v>
      </c>
      <c r="N31">
        <v>0</v>
      </c>
    </row>
    <row r="32" spans="1:15" x14ac:dyDescent="0.35">
      <c r="A32" t="s">
        <v>122</v>
      </c>
      <c r="B32" t="s">
        <v>123</v>
      </c>
      <c r="C32">
        <v>0</v>
      </c>
      <c r="D32">
        <v>0</v>
      </c>
      <c r="E32">
        <v>0</v>
      </c>
      <c r="F32">
        <v>0</v>
      </c>
      <c r="G32">
        <v>0</v>
      </c>
      <c r="H32">
        <v>0</v>
      </c>
      <c r="I32">
        <v>0</v>
      </c>
      <c r="J32">
        <v>0</v>
      </c>
      <c r="K32">
        <v>0</v>
      </c>
      <c r="L32">
        <v>0</v>
      </c>
      <c r="M32">
        <v>0</v>
      </c>
      <c r="N32">
        <v>0</v>
      </c>
    </row>
    <row r="33" spans="1:15" x14ac:dyDescent="0.35">
      <c r="A33" t="s">
        <v>88</v>
      </c>
      <c r="B33" t="s">
        <v>89</v>
      </c>
      <c r="C33">
        <v>0</v>
      </c>
      <c r="D33">
        <v>0</v>
      </c>
      <c r="E33">
        <v>0</v>
      </c>
      <c r="F33">
        <v>0</v>
      </c>
      <c r="G33">
        <v>0</v>
      </c>
      <c r="H33">
        <v>0</v>
      </c>
      <c r="I33">
        <v>0</v>
      </c>
      <c r="J33">
        <v>0</v>
      </c>
      <c r="K33">
        <v>0</v>
      </c>
      <c r="L33">
        <v>0</v>
      </c>
      <c r="M33">
        <v>0</v>
      </c>
      <c r="N33">
        <v>0</v>
      </c>
    </row>
    <row r="34" spans="1:15" x14ac:dyDescent="0.35">
      <c r="A34" t="s">
        <v>86</v>
      </c>
      <c r="B34" t="s">
        <v>87</v>
      </c>
      <c r="C34">
        <v>0</v>
      </c>
      <c r="D34">
        <v>0</v>
      </c>
      <c r="E34">
        <v>0</v>
      </c>
      <c r="F34">
        <v>0</v>
      </c>
      <c r="G34">
        <v>0</v>
      </c>
      <c r="H34">
        <v>0</v>
      </c>
      <c r="I34">
        <v>0</v>
      </c>
      <c r="J34">
        <v>0</v>
      </c>
      <c r="K34">
        <v>0</v>
      </c>
      <c r="L34">
        <v>0</v>
      </c>
      <c r="M34">
        <v>0</v>
      </c>
      <c r="N34">
        <v>0</v>
      </c>
    </row>
    <row r="35" spans="1:15" x14ac:dyDescent="0.35">
      <c r="A35" t="s">
        <v>84</v>
      </c>
      <c r="B35" t="s">
        <v>85</v>
      </c>
      <c r="C35">
        <v>0</v>
      </c>
      <c r="D35">
        <v>0</v>
      </c>
      <c r="E35">
        <v>1</v>
      </c>
      <c r="F35">
        <v>0</v>
      </c>
      <c r="G35">
        <v>0</v>
      </c>
      <c r="H35">
        <v>0</v>
      </c>
      <c r="I35">
        <v>0</v>
      </c>
      <c r="J35">
        <v>0</v>
      </c>
      <c r="K35">
        <v>0</v>
      </c>
      <c r="L35">
        <v>0</v>
      </c>
      <c r="M35">
        <v>0</v>
      </c>
      <c r="N35">
        <v>0</v>
      </c>
    </row>
    <row r="36" spans="1:15" x14ac:dyDescent="0.35">
      <c r="A36" t="s">
        <v>92</v>
      </c>
      <c r="B36" t="s">
        <v>93</v>
      </c>
      <c r="C36">
        <v>0</v>
      </c>
      <c r="D36">
        <v>0</v>
      </c>
      <c r="E36">
        <v>0</v>
      </c>
      <c r="F36">
        <v>0</v>
      </c>
      <c r="G36">
        <v>0</v>
      </c>
      <c r="H36">
        <v>0</v>
      </c>
      <c r="I36">
        <v>0</v>
      </c>
      <c r="J36">
        <v>0</v>
      </c>
      <c r="K36">
        <v>0</v>
      </c>
      <c r="L36">
        <v>0</v>
      </c>
      <c r="M36">
        <v>0</v>
      </c>
      <c r="N36">
        <v>0</v>
      </c>
    </row>
    <row r="37" spans="1:15" x14ac:dyDescent="0.35">
      <c r="A37" t="s">
        <v>90</v>
      </c>
      <c r="B37" t="s">
        <v>91</v>
      </c>
      <c r="C37">
        <v>0</v>
      </c>
      <c r="D37">
        <v>0</v>
      </c>
      <c r="E37">
        <v>0</v>
      </c>
      <c r="F37">
        <v>0</v>
      </c>
      <c r="G37">
        <v>0</v>
      </c>
      <c r="H37">
        <v>0</v>
      </c>
      <c r="I37">
        <v>0</v>
      </c>
      <c r="J37">
        <v>0</v>
      </c>
      <c r="K37">
        <v>0</v>
      </c>
      <c r="L37">
        <v>0</v>
      </c>
      <c r="M37">
        <v>0</v>
      </c>
      <c r="N37">
        <v>0</v>
      </c>
    </row>
    <row r="38" spans="1:15" x14ac:dyDescent="0.35">
      <c r="A38" t="s">
        <v>80</v>
      </c>
      <c r="B38" t="s">
        <v>81</v>
      </c>
      <c r="C38">
        <v>0</v>
      </c>
      <c r="D38">
        <v>0</v>
      </c>
      <c r="E38">
        <v>0</v>
      </c>
      <c r="F38">
        <v>0</v>
      </c>
      <c r="G38">
        <v>0</v>
      </c>
      <c r="H38">
        <v>0</v>
      </c>
      <c r="I38">
        <v>0</v>
      </c>
      <c r="J38">
        <v>0</v>
      </c>
      <c r="K38">
        <v>0</v>
      </c>
      <c r="L38">
        <v>0</v>
      </c>
      <c r="M38">
        <v>0</v>
      </c>
      <c r="N38">
        <v>0</v>
      </c>
    </row>
    <row r="39" spans="1:15" x14ac:dyDescent="0.35">
      <c r="A39" t="s">
        <v>82</v>
      </c>
      <c r="B39" t="s">
        <v>83</v>
      </c>
      <c r="C39">
        <v>0</v>
      </c>
      <c r="D39">
        <v>0</v>
      </c>
      <c r="E39">
        <v>0</v>
      </c>
      <c r="F39">
        <v>0</v>
      </c>
      <c r="G39">
        <v>0</v>
      </c>
      <c r="H39">
        <v>0</v>
      </c>
      <c r="I39">
        <v>0</v>
      </c>
      <c r="J39">
        <v>0</v>
      </c>
      <c r="K39">
        <v>0</v>
      </c>
      <c r="L39">
        <v>0</v>
      </c>
      <c r="M39">
        <v>0</v>
      </c>
      <c r="N39">
        <v>2</v>
      </c>
    </row>
    <row r="40" spans="1:15" x14ac:dyDescent="0.35">
      <c r="A40" t="s">
        <v>100</v>
      </c>
      <c r="B40" t="s">
        <v>101</v>
      </c>
      <c r="C40">
        <v>0</v>
      </c>
      <c r="D40">
        <v>0</v>
      </c>
      <c r="E40">
        <v>0</v>
      </c>
      <c r="F40">
        <v>0</v>
      </c>
      <c r="G40">
        <v>1</v>
      </c>
      <c r="H40">
        <v>0</v>
      </c>
      <c r="I40">
        <v>0</v>
      </c>
      <c r="J40">
        <v>0</v>
      </c>
      <c r="K40">
        <v>0</v>
      </c>
      <c r="L40">
        <v>0</v>
      </c>
      <c r="M40">
        <v>0</v>
      </c>
      <c r="N40">
        <v>0</v>
      </c>
    </row>
    <row r="41" spans="1:15" x14ac:dyDescent="0.35">
      <c r="A41" t="s">
        <v>102</v>
      </c>
      <c r="B41" t="s">
        <v>103</v>
      </c>
      <c r="C41">
        <v>0</v>
      </c>
      <c r="D41">
        <v>0</v>
      </c>
      <c r="E41">
        <v>0</v>
      </c>
      <c r="F41">
        <v>0</v>
      </c>
      <c r="G41">
        <v>0</v>
      </c>
      <c r="H41">
        <v>0</v>
      </c>
      <c r="I41">
        <v>0</v>
      </c>
      <c r="J41">
        <v>0</v>
      </c>
      <c r="K41">
        <v>0</v>
      </c>
      <c r="L41">
        <v>0</v>
      </c>
      <c r="M41">
        <v>3</v>
      </c>
      <c r="N41">
        <v>0</v>
      </c>
    </row>
    <row r="42" spans="1:15" x14ac:dyDescent="0.35">
      <c r="A42" t="s">
        <v>98</v>
      </c>
      <c r="B42" t="s">
        <v>99</v>
      </c>
      <c r="C42">
        <v>0</v>
      </c>
      <c r="D42">
        <v>0</v>
      </c>
      <c r="E42">
        <v>0</v>
      </c>
      <c r="F42">
        <v>0</v>
      </c>
      <c r="G42">
        <v>0</v>
      </c>
      <c r="H42">
        <v>0</v>
      </c>
      <c r="I42">
        <v>0</v>
      </c>
      <c r="J42">
        <v>0</v>
      </c>
      <c r="K42">
        <v>0</v>
      </c>
      <c r="L42">
        <v>0</v>
      </c>
      <c r="M42">
        <v>0</v>
      </c>
      <c r="N42">
        <v>0</v>
      </c>
    </row>
    <row r="43" spans="1:15" x14ac:dyDescent="0.35">
      <c r="A43" t="s">
        <v>96</v>
      </c>
      <c r="B43" t="s">
        <v>97</v>
      </c>
      <c r="C43">
        <v>0</v>
      </c>
      <c r="D43">
        <v>0</v>
      </c>
      <c r="E43">
        <v>0</v>
      </c>
      <c r="F43">
        <v>0</v>
      </c>
      <c r="G43">
        <v>0</v>
      </c>
      <c r="H43">
        <v>0</v>
      </c>
      <c r="I43">
        <v>0</v>
      </c>
      <c r="J43">
        <v>0</v>
      </c>
      <c r="K43">
        <v>0</v>
      </c>
      <c r="L43">
        <v>0</v>
      </c>
      <c r="M43">
        <v>0</v>
      </c>
      <c r="N43">
        <v>0</v>
      </c>
      <c r="O43" t="s">
        <v>234</v>
      </c>
    </row>
    <row r="44" spans="1:15" x14ac:dyDescent="0.35">
      <c r="A44" t="s">
        <v>94</v>
      </c>
      <c r="B44" t="s">
        <v>95</v>
      </c>
      <c r="C44">
        <v>0</v>
      </c>
      <c r="D44">
        <v>0</v>
      </c>
      <c r="E44">
        <v>0</v>
      </c>
      <c r="F44">
        <v>0</v>
      </c>
      <c r="G44">
        <v>0</v>
      </c>
      <c r="H44">
        <v>0</v>
      </c>
      <c r="I44">
        <v>0</v>
      </c>
      <c r="J44">
        <v>0</v>
      </c>
      <c r="K44">
        <v>0</v>
      </c>
      <c r="L44">
        <v>0</v>
      </c>
      <c r="M44">
        <v>0</v>
      </c>
      <c r="N44">
        <v>0</v>
      </c>
    </row>
    <row r="45" spans="1:15" x14ac:dyDescent="0.35">
      <c r="A45" t="s">
        <v>104</v>
      </c>
      <c r="B45" t="s">
        <v>105</v>
      </c>
      <c r="C45">
        <v>0</v>
      </c>
      <c r="D45">
        <v>0</v>
      </c>
      <c r="E45">
        <v>0</v>
      </c>
      <c r="F45">
        <v>0</v>
      </c>
      <c r="G45">
        <v>0</v>
      </c>
      <c r="H45">
        <v>0</v>
      </c>
      <c r="I45">
        <v>0</v>
      </c>
      <c r="J45">
        <v>0</v>
      </c>
      <c r="K45">
        <v>0</v>
      </c>
      <c r="L45">
        <v>0</v>
      </c>
      <c r="M45">
        <v>0</v>
      </c>
      <c r="N45">
        <v>0</v>
      </c>
    </row>
    <row r="46" spans="1:15" x14ac:dyDescent="0.35">
      <c r="A46" t="s">
        <v>106</v>
      </c>
      <c r="B46" t="s">
        <v>107</v>
      </c>
      <c r="C46">
        <v>0</v>
      </c>
      <c r="D46">
        <v>0</v>
      </c>
      <c r="E46">
        <v>0.25</v>
      </c>
      <c r="F46">
        <v>0</v>
      </c>
      <c r="G46">
        <v>0</v>
      </c>
      <c r="H46">
        <v>0</v>
      </c>
      <c r="I46">
        <v>0</v>
      </c>
      <c r="J46">
        <v>0</v>
      </c>
      <c r="K46">
        <v>0</v>
      </c>
      <c r="L46">
        <v>0</v>
      </c>
      <c r="M46">
        <v>0</v>
      </c>
      <c r="N46">
        <v>0</v>
      </c>
    </row>
    <row r="47" spans="1:15" x14ac:dyDescent="0.35">
      <c r="A47" t="s">
        <v>108</v>
      </c>
      <c r="B47" t="s">
        <v>109</v>
      </c>
      <c r="C47">
        <v>0</v>
      </c>
      <c r="D47">
        <v>0</v>
      </c>
      <c r="E47">
        <v>0</v>
      </c>
      <c r="F47">
        <v>0</v>
      </c>
      <c r="G47">
        <v>0</v>
      </c>
      <c r="H47">
        <v>0</v>
      </c>
      <c r="I47">
        <v>0</v>
      </c>
      <c r="J47">
        <v>0</v>
      </c>
      <c r="K47">
        <v>0</v>
      </c>
      <c r="L47">
        <v>0</v>
      </c>
      <c r="M47">
        <v>0</v>
      </c>
      <c r="N47">
        <v>0</v>
      </c>
    </row>
    <row r="48" spans="1:15" x14ac:dyDescent="0.35">
      <c r="A48" t="s">
        <v>110</v>
      </c>
      <c r="B48" t="s">
        <v>111</v>
      </c>
      <c r="C48">
        <v>0</v>
      </c>
      <c r="D48">
        <v>0</v>
      </c>
      <c r="E48">
        <v>0</v>
      </c>
      <c r="F48">
        <v>0</v>
      </c>
      <c r="G48">
        <v>0</v>
      </c>
      <c r="H48">
        <v>1</v>
      </c>
      <c r="I48">
        <v>0</v>
      </c>
      <c r="J48">
        <v>0</v>
      </c>
      <c r="K48">
        <v>0</v>
      </c>
      <c r="L48">
        <v>0</v>
      </c>
      <c r="M48">
        <v>0</v>
      </c>
      <c r="N48">
        <v>0</v>
      </c>
    </row>
    <row r="49" spans="1:14" x14ac:dyDescent="0.35">
      <c r="A49" t="s">
        <v>112</v>
      </c>
      <c r="B49" t="s">
        <v>113</v>
      </c>
      <c r="C49">
        <v>0</v>
      </c>
      <c r="D49">
        <v>0</v>
      </c>
      <c r="E49">
        <v>0</v>
      </c>
      <c r="F49">
        <v>0</v>
      </c>
      <c r="G49">
        <v>0</v>
      </c>
      <c r="H49">
        <v>0</v>
      </c>
      <c r="I49">
        <v>0</v>
      </c>
      <c r="J49">
        <v>0</v>
      </c>
      <c r="K49">
        <v>0</v>
      </c>
      <c r="L49">
        <v>0</v>
      </c>
      <c r="M49">
        <v>0</v>
      </c>
      <c r="N49">
        <v>0</v>
      </c>
    </row>
    <row r="50" spans="1:14" x14ac:dyDescent="0.35">
      <c r="A50" t="s">
        <v>114</v>
      </c>
      <c r="B50" t="s">
        <v>115</v>
      </c>
      <c r="C50">
        <v>0</v>
      </c>
      <c r="D50">
        <v>0</v>
      </c>
      <c r="E50">
        <v>0</v>
      </c>
      <c r="F50">
        <v>0</v>
      </c>
      <c r="G50">
        <v>0</v>
      </c>
      <c r="H50">
        <v>0</v>
      </c>
      <c r="I50">
        <v>0</v>
      </c>
      <c r="J50">
        <v>0</v>
      </c>
      <c r="K50">
        <v>0</v>
      </c>
      <c r="L50">
        <v>0</v>
      </c>
      <c r="M50">
        <v>0</v>
      </c>
      <c r="N50">
        <v>0</v>
      </c>
    </row>
    <row r="51" spans="1:14" x14ac:dyDescent="0.35">
      <c r="A51" t="s">
        <v>124</v>
      </c>
      <c r="B51" t="s">
        <v>125</v>
      </c>
      <c r="C51">
        <v>0</v>
      </c>
      <c r="D51">
        <v>0</v>
      </c>
      <c r="E51">
        <v>0</v>
      </c>
      <c r="F51">
        <v>0</v>
      </c>
      <c r="G51">
        <v>0</v>
      </c>
      <c r="H51">
        <v>0</v>
      </c>
      <c r="I51">
        <v>0</v>
      </c>
      <c r="J51">
        <v>0</v>
      </c>
      <c r="K51">
        <v>0</v>
      </c>
      <c r="L51">
        <v>0</v>
      </c>
      <c r="M51">
        <v>2</v>
      </c>
      <c r="N51">
        <v>5</v>
      </c>
    </row>
    <row r="52" spans="1:14" x14ac:dyDescent="0.35">
      <c r="A52" t="s">
        <v>116</v>
      </c>
      <c r="B52" t="s">
        <v>117</v>
      </c>
      <c r="C52">
        <v>0</v>
      </c>
      <c r="D52">
        <v>0</v>
      </c>
      <c r="E52">
        <v>0</v>
      </c>
      <c r="F52">
        <v>0</v>
      </c>
      <c r="G52">
        <v>0</v>
      </c>
      <c r="H52">
        <v>0</v>
      </c>
      <c r="I52">
        <v>0</v>
      </c>
      <c r="J52">
        <v>0</v>
      </c>
      <c r="K52">
        <v>0</v>
      </c>
      <c r="L52">
        <v>0</v>
      </c>
      <c r="M52">
        <v>2</v>
      </c>
      <c r="N52">
        <v>1</v>
      </c>
    </row>
    <row r="53" spans="1:14" x14ac:dyDescent="0.35">
      <c r="A53" t="s">
        <v>118</v>
      </c>
      <c r="B53" t="s">
        <v>119</v>
      </c>
      <c r="C53">
        <v>0</v>
      </c>
      <c r="D53">
        <v>0</v>
      </c>
      <c r="E53">
        <v>0</v>
      </c>
      <c r="F53">
        <v>0</v>
      </c>
      <c r="G53">
        <v>0</v>
      </c>
      <c r="H53">
        <v>0</v>
      </c>
      <c r="I53">
        <v>0</v>
      </c>
      <c r="J53">
        <v>0</v>
      </c>
      <c r="K53">
        <v>0</v>
      </c>
      <c r="L53">
        <v>0</v>
      </c>
      <c r="M53">
        <v>0</v>
      </c>
      <c r="N53">
        <v>1</v>
      </c>
    </row>
    <row r="54" spans="1:14" x14ac:dyDescent="0.35">
      <c r="A54" t="s">
        <v>130</v>
      </c>
      <c r="B54" t="s">
        <v>131</v>
      </c>
      <c r="C54">
        <v>0</v>
      </c>
      <c r="D54">
        <v>0</v>
      </c>
      <c r="E54">
        <v>0</v>
      </c>
      <c r="F54">
        <v>0</v>
      </c>
      <c r="G54">
        <v>0</v>
      </c>
      <c r="H54">
        <v>0</v>
      </c>
      <c r="I54">
        <v>0</v>
      </c>
      <c r="J54">
        <v>0</v>
      </c>
      <c r="K54">
        <v>0</v>
      </c>
      <c r="L54">
        <v>0</v>
      </c>
      <c r="M54">
        <v>0</v>
      </c>
      <c r="N54">
        <v>0</v>
      </c>
    </row>
    <row r="55" spans="1:14" x14ac:dyDescent="0.35">
      <c r="A55" t="s">
        <v>126</v>
      </c>
      <c r="B55" t="s">
        <v>127</v>
      </c>
      <c r="C55">
        <v>0</v>
      </c>
      <c r="D55">
        <v>0</v>
      </c>
      <c r="E55">
        <v>0</v>
      </c>
      <c r="F55">
        <v>0</v>
      </c>
      <c r="G55">
        <v>0</v>
      </c>
      <c r="H55">
        <v>0</v>
      </c>
      <c r="I55">
        <v>0</v>
      </c>
      <c r="J55">
        <v>0</v>
      </c>
      <c r="K55">
        <v>0</v>
      </c>
      <c r="L55">
        <v>0</v>
      </c>
      <c r="M55">
        <v>0</v>
      </c>
      <c r="N55">
        <v>1</v>
      </c>
    </row>
    <row r="56" spans="1:14" x14ac:dyDescent="0.35">
      <c r="A56" t="s">
        <v>132</v>
      </c>
      <c r="B56" t="s">
        <v>133</v>
      </c>
      <c r="C56">
        <v>0</v>
      </c>
      <c r="D56">
        <v>0</v>
      </c>
      <c r="E56">
        <v>0</v>
      </c>
      <c r="F56">
        <v>0</v>
      </c>
      <c r="G56">
        <v>0</v>
      </c>
      <c r="H56">
        <v>0</v>
      </c>
      <c r="I56">
        <v>0</v>
      </c>
      <c r="J56">
        <v>0</v>
      </c>
      <c r="K56">
        <v>0</v>
      </c>
      <c r="L56">
        <v>0</v>
      </c>
      <c r="M56">
        <v>0</v>
      </c>
      <c r="N56">
        <v>1</v>
      </c>
    </row>
    <row r="57" spans="1:14" x14ac:dyDescent="0.35">
      <c r="A57" t="s">
        <v>128</v>
      </c>
      <c r="B57" t="s">
        <v>129</v>
      </c>
      <c r="C57">
        <v>0</v>
      </c>
      <c r="D57">
        <v>0</v>
      </c>
      <c r="E57">
        <v>0</v>
      </c>
      <c r="F57">
        <v>0</v>
      </c>
      <c r="G57">
        <v>0</v>
      </c>
      <c r="H57">
        <v>0</v>
      </c>
      <c r="I57">
        <v>0</v>
      </c>
      <c r="J57">
        <v>0</v>
      </c>
      <c r="K57">
        <v>0</v>
      </c>
      <c r="L57">
        <v>0</v>
      </c>
      <c r="M57">
        <v>0</v>
      </c>
      <c r="N57">
        <v>0</v>
      </c>
    </row>
    <row r="58" spans="1:14" x14ac:dyDescent="0.35">
      <c r="A58" t="s">
        <v>134</v>
      </c>
      <c r="B58" t="s">
        <v>135</v>
      </c>
      <c r="C58">
        <v>0</v>
      </c>
      <c r="D58">
        <v>0</v>
      </c>
      <c r="E58">
        <v>0</v>
      </c>
      <c r="F58">
        <v>0</v>
      </c>
      <c r="G58">
        <v>0</v>
      </c>
      <c r="H58">
        <v>0</v>
      </c>
      <c r="I58">
        <v>0</v>
      </c>
      <c r="J58">
        <v>0</v>
      </c>
      <c r="K58">
        <v>0</v>
      </c>
      <c r="L58">
        <v>0</v>
      </c>
      <c r="M58">
        <v>0</v>
      </c>
      <c r="N58">
        <v>1</v>
      </c>
    </row>
    <row r="59" spans="1:14" x14ac:dyDescent="0.35">
      <c r="A59" t="s">
        <v>136</v>
      </c>
      <c r="B59" t="s">
        <v>137</v>
      </c>
      <c r="C59">
        <v>0</v>
      </c>
      <c r="D59">
        <v>0</v>
      </c>
      <c r="E59">
        <v>0</v>
      </c>
      <c r="F59">
        <v>0</v>
      </c>
      <c r="G59">
        <v>0</v>
      </c>
      <c r="H59">
        <v>0</v>
      </c>
      <c r="I59">
        <v>0</v>
      </c>
      <c r="J59">
        <v>0</v>
      </c>
      <c r="K59">
        <v>0</v>
      </c>
      <c r="L59">
        <v>0</v>
      </c>
      <c r="M59">
        <v>1</v>
      </c>
      <c r="N59">
        <v>1</v>
      </c>
    </row>
    <row r="60" spans="1:14" x14ac:dyDescent="0.35">
      <c r="A60" t="s">
        <v>138</v>
      </c>
      <c r="B60" t="s">
        <v>139</v>
      </c>
      <c r="C60">
        <v>0</v>
      </c>
      <c r="D60">
        <v>0</v>
      </c>
      <c r="E60">
        <v>0</v>
      </c>
      <c r="F60">
        <v>0</v>
      </c>
      <c r="G60">
        <v>0</v>
      </c>
      <c r="H60">
        <v>0</v>
      </c>
      <c r="I60">
        <v>0</v>
      </c>
      <c r="J60">
        <v>0</v>
      </c>
      <c r="K60">
        <v>0</v>
      </c>
      <c r="L60">
        <v>0</v>
      </c>
      <c r="M60">
        <v>0</v>
      </c>
      <c r="N60">
        <v>1</v>
      </c>
    </row>
    <row r="61" spans="1:14" x14ac:dyDescent="0.35">
      <c r="A61" t="s">
        <v>140</v>
      </c>
      <c r="B61" t="s">
        <v>141</v>
      </c>
      <c r="C61">
        <v>0</v>
      </c>
      <c r="D61">
        <v>0</v>
      </c>
      <c r="E61">
        <v>0</v>
      </c>
      <c r="F61">
        <v>0</v>
      </c>
      <c r="G61">
        <v>0</v>
      </c>
      <c r="H61">
        <v>0</v>
      </c>
      <c r="I61">
        <v>0</v>
      </c>
      <c r="J61">
        <v>0</v>
      </c>
      <c r="K61">
        <v>0</v>
      </c>
      <c r="L61">
        <v>0</v>
      </c>
      <c r="M61">
        <v>0</v>
      </c>
      <c r="N61">
        <v>0</v>
      </c>
    </row>
    <row r="62" spans="1:14" x14ac:dyDescent="0.35">
      <c r="A62" t="s">
        <v>142</v>
      </c>
      <c r="B62" t="s">
        <v>143</v>
      </c>
      <c r="C62">
        <v>0</v>
      </c>
      <c r="D62">
        <v>0</v>
      </c>
      <c r="E62">
        <v>0</v>
      </c>
      <c r="F62">
        <v>0</v>
      </c>
      <c r="G62">
        <v>0</v>
      </c>
      <c r="H62">
        <v>1</v>
      </c>
      <c r="I62">
        <v>0</v>
      </c>
      <c r="J62">
        <v>0</v>
      </c>
      <c r="K62">
        <v>0</v>
      </c>
      <c r="L62">
        <v>0</v>
      </c>
      <c r="M62">
        <v>0</v>
      </c>
      <c r="N62">
        <v>0</v>
      </c>
    </row>
    <row r="63" spans="1:14" x14ac:dyDescent="0.35">
      <c r="A63" t="s">
        <v>144</v>
      </c>
      <c r="B63" t="s">
        <v>145</v>
      </c>
      <c r="C63">
        <v>0</v>
      </c>
      <c r="D63">
        <v>0</v>
      </c>
      <c r="E63">
        <v>0</v>
      </c>
      <c r="F63">
        <v>0</v>
      </c>
      <c r="G63">
        <v>0</v>
      </c>
      <c r="H63">
        <v>0</v>
      </c>
      <c r="I63">
        <v>0</v>
      </c>
      <c r="J63">
        <v>0</v>
      </c>
      <c r="K63">
        <v>0</v>
      </c>
      <c r="L63">
        <v>0</v>
      </c>
      <c r="M63">
        <v>0</v>
      </c>
      <c r="N63">
        <v>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8"/>
  <sheetViews>
    <sheetView workbookViewId="0">
      <pane xSplit="1" ySplit="6" topLeftCell="B7" activePane="bottomRight" state="frozen"/>
      <selection pane="topRight" activeCell="B1" sqref="B1"/>
      <selection pane="bottomLeft" activeCell="A7" sqref="A7"/>
      <selection pane="bottomRight" activeCell="P7" sqref="P7:R68"/>
    </sheetView>
  </sheetViews>
  <sheetFormatPr defaultRowHeight="14.5" x14ac:dyDescent="0.35"/>
  <cols>
    <col min="1" max="1" width="29.453125" customWidth="1"/>
    <col min="5" max="5" width="15.7265625" bestFit="1" customWidth="1"/>
    <col min="6" max="7" width="15.7265625" customWidth="1"/>
    <col min="8" max="8" width="10.7265625" style="33" customWidth="1"/>
    <col min="9" max="9" width="10.1796875" customWidth="1"/>
    <col min="10" max="11" width="10.7265625" customWidth="1"/>
    <col min="13" max="13" width="8.7265625" style="33"/>
    <col min="16" max="16" width="8.7265625" style="33"/>
    <col min="19" max="20" width="8.7265625" style="33"/>
  </cols>
  <sheetData>
    <row r="1" spans="1:19" x14ac:dyDescent="0.35">
      <c r="A1" s="1">
        <f>COLUMN()</f>
        <v>1</v>
      </c>
      <c r="B1" s="1">
        <f>COLUMN()</f>
        <v>2</v>
      </c>
      <c r="C1" s="1">
        <f>COLUMN()</f>
        <v>3</v>
      </c>
      <c r="D1" s="1">
        <f>COLUMN()</f>
        <v>4</v>
      </c>
      <c r="E1" s="1">
        <f>COLUMN()</f>
        <v>5</v>
      </c>
      <c r="F1" s="1">
        <f>COLUMN()</f>
        <v>6</v>
      </c>
      <c r="G1" s="1">
        <f>COLUMN()</f>
        <v>7</v>
      </c>
      <c r="H1" s="32">
        <f>COLUMN()</f>
        <v>8</v>
      </c>
      <c r="I1" s="1">
        <f>COLUMN()</f>
        <v>9</v>
      </c>
      <c r="J1" s="1">
        <f>COLUMN()</f>
        <v>10</v>
      </c>
      <c r="K1" s="1">
        <f>COLUMN()</f>
        <v>11</v>
      </c>
      <c r="L1" s="1">
        <f>COLUMN()</f>
        <v>12</v>
      </c>
      <c r="M1" s="32">
        <f>COLUMN()</f>
        <v>13</v>
      </c>
      <c r="N1" s="1">
        <f>COLUMN()</f>
        <v>14</v>
      </c>
      <c r="O1" s="1">
        <f>COLUMN()</f>
        <v>15</v>
      </c>
      <c r="P1" s="32">
        <f>COLUMN()</f>
        <v>16</v>
      </c>
      <c r="Q1" s="1">
        <f>COLUMN()</f>
        <v>17</v>
      </c>
      <c r="R1" s="1">
        <f>COLUMN()</f>
        <v>18</v>
      </c>
      <c r="S1" s="32">
        <f>COLUMN()</f>
        <v>19</v>
      </c>
    </row>
    <row r="2" spans="1:19" x14ac:dyDescent="0.35">
      <c r="A2" s="1" t="s">
        <v>225</v>
      </c>
      <c r="B2" s="1"/>
      <c r="C2" s="1"/>
      <c r="D2" s="1"/>
      <c r="E2" s="1"/>
      <c r="F2" s="1"/>
      <c r="G2" s="1"/>
      <c r="H2" s="32">
        <f>PERCENTILE(H7:H31,0.95)</f>
        <v>860.1999999999997</v>
      </c>
      <c r="I2" s="1"/>
      <c r="J2" s="1">
        <f>PERCENTILE(J7:J31,0.95)</f>
        <v>268.32510033902452</v>
      </c>
      <c r="K2" s="1"/>
    </row>
    <row r="3" spans="1:19" x14ac:dyDescent="0.35">
      <c r="A3" s="1" t="s">
        <v>226</v>
      </c>
      <c r="B3" s="1"/>
      <c r="C3" s="1"/>
      <c r="D3" s="1"/>
      <c r="E3" s="1"/>
      <c r="F3" s="1"/>
      <c r="G3" s="1"/>
      <c r="H3" s="32">
        <f>MIN(H7:H31)</f>
        <v>298</v>
      </c>
      <c r="I3" s="1"/>
      <c r="J3" s="1">
        <f>MIN(J7:J31)</f>
        <v>0</v>
      </c>
      <c r="K3" s="1"/>
    </row>
    <row r="4" spans="1:19" x14ac:dyDescent="0.35">
      <c r="A4" s="1" t="s">
        <v>227</v>
      </c>
      <c r="B4" s="1"/>
      <c r="C4" s="1"/>
      <c r="D4" s="1"/>
      <c r="E4" s="1"/>
      <c r="F4" s="1"/>
      <c r="G4" s="1"/>
      <c r="H4" s="32">
        <f>PERCENTILE(H32:H68,0.95)</f>
        <v>715.79999999999973</v>
      </c>
      <c r="I4" s="1"/>
      <c r="J4" s="1">
        <f>PERCENTILE(J32:J68,0.95)</f>
        <v>969.71408890407031</v>
      </c>
      <c r="K4" s="1"/>
    </row>
    <row r="5" spans="1:19" x14ac:dyDescent="0.35">
      <c r="A5" s="1" t="s">
        <v>228</v>
      </c>
      <c r="B5" s="1"/>
      <c r="C5" s="1"/>
      <c r="D5" s="1"/>
      <c r="E5" s="1"/>
      <c r="F5" s="1"/>
      <c r="G5" s="1"/>
      <c r="H5" s="32">
        <f>MIN(H32:H68)</f>
        <v>166</v>
      </c>
      <c r="I5" s="1"/>
      <c r="J5" s="1">
        <f>MIN(J32:J68)</f>
        <v>0</v>
      </c>
      <c r="K5" s="1"/>
    </row>
    <row r="6" spans="1:19" ht="73.5" x14ac:dyDescent="0.35">
      <c r="A6" s="25" t="s">
        <v>0</v>
      </c>
      <c r="B6" s="25" t="s">
        <v>1</v>
      </c>
      <c r="C6" s="25" t="s">
        <v>2</v>
      </c>
      <c r="D6" s="25" t="s">
        <v>3</v>
      </c>
      <c r="E6" s="25" t="s">
        <v>4</v>
      </c>
      <c r="F6" s="25" t="s">
        <v>156</v>
      </c>
      <c r="G6" s="25" t="s">
        <v>157</v>
      </c>
      <c r="H6" s="36" t="s">
        <v>229</v>
      </c>
      <c r="I6" s="27" t="s">
        <v>230</v>
      </c>
      <c r="J6" s="26" t="s">
        <v>231</v>
      </c>
      <c r="K6" s="27" t="s">
        <v>232</v>
      </c>
      <c r="L6" s="27" t="s">
        <v>243</v>
      </c>
      <c r="M6" s="34" t="s">
        <v>245</v>
      </c>
      <c r="N6" s="7" t="s">
        <v>246</v>
      </c>
      <c r="O6" s="35" t="s">
        <v>247</v>
      </c>
      <c r="P6" s="34" t="s">
        <v>248</v>
      </c>
      <c r="Q6" s="7" t="s">
        <v>249</v>
      </c>
      <c r="R6" s="35" t="s">
        <v>250</v>
      </c>
      <c r="S6" s="37" t="s">
        <v>244</v>
      </c>
    </row>
    <row r="7" spans="1:19" x14ac:dyDescent="0.35">
      <c r="A7" s="1" t="s">
        <v>5</v>
      </c>
      <c r="B7" s="28" t="s">
        <v>6</v>
      </c>
      <c r="C7" s="1" t="s">
        <v>7</v>
      </c>
      <c r="D7" s="1" t="s">
        <v>8</v>
      </c>
      <c r="E7" s="28" t="s">
        <v>9</v>
      </c>
      <c r="F7" s="28" t="s">
        <v>159</v>
      </c>
      <c r="G7" s="28" t="str">
        <f>VLOOKUP($A7,'EBA2017'!$A:$G,7,FALSE)</f>
        <v>One</v>
      </c>
      <c r="H7" s="32">
        <f>VLOOKUP($A7,'EBA2017'!$A:$N,13,FALSE)</f>
        <v>587</v>
      </c>
      <c r="I7" s="1">
        <f>IF(G7="One",IF(H7="No practice",0,IF(H7&gt;$H$2,0,($H$2-H7)/($H$2-$H$3))),IF(H7="No practice",0,IF(H7&gt;$H$4,0,($H$4-H7)/($H$4-$H$5))))</f>
        <v>0.48594806118818901</v>
      </c>
      <c r="J7" s="1">
        <f>VLOOKUP($A7,'EBA2017'!$A:$N,14,FALSE)</f>
        <v>18.483757633238948</v>
      </c>
      <c r="K7" s="1">
        <f t="shared" ref="K7:K38" si="0">IF(G7="One",IF(J7="No practice",0,IF(J7&gt;$J$2,0,($J$2-J7)/($J$2-$J$3))),IF(J7="No practice",0,IF(J7&gt;$J$4,0,($J$4-J7)/($J$4-$J$5))))</f>
        <v>0.93111431763228625</v>
      </c>
      <c r="L7" s="1">
        <f t="shared" ref="L7:L38" si="1">AVERAGE(I7,K7)</f>
        <v>0.70853118941023763</v>
      </c>
      <c r="M7" s="32">
        <f>VLOOKUP(A7,'EBA2017'!A:N,10,FALSE)</f>
        <v>8</v>
      </c>
      <c r="N7" s="1">
        <f>VLOOKUP(A7,'EBA2017'!A:N,11,FALSE)</f>
        <v>6.5</v>
      </c>
      <c r="O7" s="1">
        <f>VLOOKUP(A7,'EBA2017'!A:N,12,FALSE)</f>
        <v>2</v>
      </c>
      <c r="P7" s="32">
        <f>IF(M7="No Data","No Data",M7/(10-IF(M7&lt;10,VLOOKUP($A7,'Data Gaps'!$A:$N,3,FALSE),0)))</f>
        <v>0.8</v>
      </c>
      <c r="Q7" s="1">
        <f>IF(N7="No Data","No Data",N7/(8-IF(N7&lt;8,VLOOKUP($A7,'Data Gaps'!$A:$N,4,FALSE),0)))</f>
        <v>0.8125</v>
      </c>
      <c r="R7" s="1">
        <f>IF(O7="No Data","No Data",O7/(12-IF(O7&lt;12,VLOOKUP($A7,'Data Gaps'!$A:$N,5,FALSE),0)))</f>
        <v>0.16666666666666666</v>
      </c>
      <c r="S7" s="32">
        <f>100*AVERAGE(L7,P7,Q7,R7)</f>
        <v>62.192446401922609</v>
      </c>
    </row>
    <row r="8" spans="1:19" x14ac:dyDescent="0.35">
      <c r="A8" s="1" t="s">
        <v>23</v>
      </c>
      <c r="B8" s="28" t="s">
        <v>24</v>
      </c>
      <c r="C8" s="1" t="s">
        <v>7</v>
      </c>
      <c r="D8" s="1" t="s">
        <v>8</v>
      </c>
      <c r="E8" s="29" t="s">
        <v>25</v>
      </c>
      <c r="F8" s="28" t="s">
        <v>161</v>
      </c>
      <c r="G8" s="28" t="str">
        <f>VLOOKUP($A8,'EBA2017'!$A:$G,7,FALSE)</f>
        <v>One</v>
      </c>
      <c r="H8" s="32" t="str">
        <f>VLOOKUP($A8,'EBA2017'!$A:$N,13,FALSE)</f>
        <v>No practice</v>
      </c>
      <c r="I8" s="1">
        <f t="shared" ref="I8:I68" si="2">IF(G8="One",IF(H8="No practice",0,IF(H8&gt;$H$2,0,($H$2-H8)/($H$2-$H$3))),IF(H8="No practice",0,IF(H8&gt;$H$4,0,($H$4-H8)/($H$4-$H$5))))</f>
        <v>0</v>
      </c>
      <c r="J8" s="1" t="str">
        <f>VLOOKUP($A8,'EBA2017'!$A:$N,14,FALSE)</f>
        <v>No practice</v>
      </c>
      <c r="K8" s="1">
        <f t="shared" si="0"/>
        <v>0</v>
      </c>
      <c r="L8" s="1">
        <f t="shared" si="1"/>
        <v>0</v>
      </c>
      <c r="M8" s="32">
        <f>VLOOKUP(A8,'EBA2017'!A:N,10,FALSE)</f>
        <v>7</v>
      </c>
      <c r="N8" s="1">
        <f>VLOOKUP(A8,'EBA2017'!A:N,11,FALSE)</f>
        <v>2</v>
      </c>
      <c r="O8" s="1">
        <f>VLOOKUP(A8,'EBA2017'!A:N,12,FALSE)</f>
        <v>4</v>
      </c>
      <c r="P8" s="32">
        <f>IF(M8="No Data","No Data",M8/(10-IF(M8&lt;10,VLOOKUP($A8,'Data Gaps'!$A:$N,3,FALSE),0)))</f>
        <v>0.7</v>
      </c>
      <c r="Q8" s="1">
        <f>IF(N8="No Data","No Data",N8/(8-IF(N8&lt;8,VLOOKUP($A8,'Data Gaps'!$A:$N,4,FALSE),0)))</f>
        <v>0.25</v>
      </c>
      <c r="R8" s="1">
        <f>IF(O8="No Data","No Data",O8/(12-IF(O8&lt;12,VLOOKUP($A8,'Data Gaps'!$A:$N,5,FALSE),0)))</f>
        <v>0.33333333333333331</v>
      </c>
      <c r="S8" s="32">
        <f t="shared" ref="S8:S68" si="3">100*AVERAGE(L8,P8,Q8,R8)</f>
        <v>32.083333333333329</v>
      </c>
    </row>
    <row r="9" spans="1:19" x14ac:dyDescent="0.35">
      <c r="A9" s="1" t="s">
        <v>36</v>
      </c>
      <c r="B9" s="28" t="s">
        <v>37</v>
      </c>
      <c r="C9" s="1" t="s">
        <v>38</v>
      </c>
      <c r="D9" s="1" t="s">
        <v>39</v>
      </c>
      <c r="E9" s="29" t="s">
        <v>40</v>
      </c>
      <c r="F9" s="28" t="s">
        <v>159</v>
      </c>
      <c r="G9" s="28" t="str">
        <f>VLOOKUP($A9,'EBA2017'!$A:$G,7,FALSE)</f>
        <v>One</v>
      </c>
      <c r="H9" s="32">
        <f>VLOOKUP($A9,'EBA2017'!$A:$N,13,FALSE)</f>
        <v>848</v>
      </c>
      <c r="I9" s="1">
        <f t="shared" si="2"/>
        <v>2.1700462468871771E-2</v>
      </c>
      <c r="J9" s="1">
        <f>VLOOKUP($A9,'EBA2017'!$A:$N,14,FALSE)</f>
        <v>12.524716902469724</v>
      </c>
      <c r="K9" s="1">
        <f t="shared" si="0"/>
        <v>0.9533226042340246</v>
      </c>
      <c r="L9" s="1">
        <f t="shared" si="1"/>
        <v>0.4875115333514482</v>
      </c>
      <c r="M9" s="32">
        <f>VLOOKUP(A9,'EBA2017'!A:N,10,FALSE)</f>
        <v>9</v>
      </c>
      <c r="N9" s="1">
        <f>VLOOKUP(A9,'EBA2017'!A:N,11,FALSE)</f>
        <v>6</v>
      </c>
      <c r="O9" s="1">
        <f>VLOOKUP(A9,'EBA2017'!A:N,12,FALSE)</f>
        <v>4</v>
      </c>
      <c r="P9" s="32">
        <f>IF(M9="No Data","No Data",M9/(10-IF(M9&lt;10,VLOOKUP($A9,'Data Gaps'!$A:$N,3,FALSE),0)))</f>
        <v>0.9</v>
      </c>
      <c r="Q9" s="1">
        <f>IF(N9="No Data","No Data",N9/(8-IF(N9&lt;8,VLOOKUP($A9,'Data Gaps'!$A:$N,4,FALSE),0)))</f>
        <v>0.75</v>
      </c>
      <c r="R9" s="1">
        <f>IF(O9="No Data","No Data",O9/(12-IF(O9&lt;12,VLOOKUP($A9,'Data Gaps'!$A:$N,5,FALSE),0)))</f>
        <v>0.33333333333333331</v>
      </c>
      <c r="S9" s="32">
        <f t="shared" si="3"/>
        <v>61.771121667119544</v>
      </c>
    </row>
    <row r="10" spans="1:19" x14ac:dyDescent="0.35">
      <c r="A10" s="1" t="s">
        <v>45</v>
      </c>
      <c r="B10" s="28" t="s">
        <v>46</v>
      </c>
      <c r="C10" s="1" t="s">
        <v>38</v>
      </c>
      <c r="D10" s="1" t="s">
        <v>39</v>
      </c>
      <c r="E10" s="29" t="s">
        <v>40</v>
      </c>
      <c r="F10" s="28" t="s">
        <v>162</v>
      </c>
      <c r="G10" s="28" t="str">
        <f>VLOOKUP($A10,'EBA2017'!$A:$G,7,FALSE)</f>
        <v>One</v>
      </c>
      <c r="H10" s="32">
        <f>VLOOKUP($A10,'EBA2017'!$A:$N,13,FALSE)</f>
        <v>690</v>
      </c>
      <c r="I10" s="1">
        <f t="shared" si="2"/>
        <v>0.30273923870508679</v>
      </c>
      <c r="J10" s="1">
        <f>VLOOKUP($A10,'EBA2017'!$A:$N,14,FALSE)</f>
        <v>7.3891268249424407</v>
      </c>
      <c r="K10" s="1">
        <f t="shared" si="0"/>
        <v>0.97246203647885954</v>
      </c>
      <c r="L10" s="1">
        <f t="shared" si="1"/>
        <v>0.63760063759197316</v>
      </c>
      <c r="M10" s="32">
        <f>VLOOKUP(A10,'EBA2017'!A:N,10,FALSE)</f>
        <v>9</v>
      </c>
      <c r="N10" s="1">
        <f>VLOOKUP(A10,'EBA2017'!A:N,11,FALSE)</f>
        <v>7</v>
      </c>
      <c r="O10" s="1">
        <f>VLOOKUP(A10,'EBA2017'!A:N,12,FALSE)</f>
        <v>12</v>
      </c>
      <c r="P10" s="32">
        <f>IF(M10="No Data","No Data",M10/(10-IF(M10&lt;10,VLOOKUP($A10,'Data Gaps'!$A:$N,3,FALSE),0)))</f>
        <v>0.9</v>
      </c>
      <c r="Q10" s="1">
        <f>IF(N10="No Data","No Data",N10/(8-IF(N10&lt;8,VLOOKUP($A10,'Data Gaps'!$A:$N,4,FALSE),0)))</f>
        <v>0.875</v>
      </c>
      <c r="R10" s="1">
        <f>IF(O10="No Data","No Data",O10/(12-IF(O10&lt;12,VLOOKUP($A10,'Data Gaps'!$A:$N,5,FALSE),0)))</f>
        <v>1</v>
      </c>
      <c r="S10" s="32">
        <f t="shared" si="3"/>
        <v>85.315015939799338</v>
      </c>
    </row>
    <row r="11" spans="1:19" x14ac:dyDescent="0.35">
      <c r="A11" s="1" t="s">
        <v>120</v>
      </c>
      <c r="B11" s="28" t="s">
        <v>121</v>
      </c>
      <c r="C11" s="1" t="s">
        <v>38</v>
      </c>
      <c r="D11" s="1" t="s">
        <v>39</v>
      </c>
      <c r="E11" s="29" t="s">
        <v>40</v>
      </c>
      <c r="F11" s="28" t="s">
        <v>159</v>
      </c>
      <c r="G11" s="28" t="str">
        <f>VLOOKUP($A11,'EBA2017'!$A:$G,7,FALSE)</f>
        <v>One</v>
      </c>
      <c r="H11" s="32">
        <f>VLOOKUP($A11,'EBA2017'!$A:$N,13,FALSE)</f>
        <v>598</v>
      </c>
      <c r="I11" s="1">
        <f t="shared" si="2"/>
        <v>0.46638207043756641</v>
      </c>
      <c r="J11" s="1">
        <f>VLOOKUP($A11,'EBA2017'!$A:$N,14,FALSE)</f>
        <v>9.2655549893308446</v>
      </c>
      <c r="K11" s="1">
        <f t="shared" si="0"/>
        <v>0.96546892192484435</v>
      </c>
      <c r="L11" s="1">
        <f t="shared" si="1"/>
        <v>0.71592549618120538</v>
      </c>
      <c r="M11" s="32">
        <f>VLOOKUP(A11,'EBA2017'!A:N,10,FALSE)</f>
        <v>10</v>
      </c>
      <c r="N11" s="1">
        <f>VLOOKUP(A11,'EBA2017'!A:N,11,FALSE)</f>
        <v>6</v>
      </c>
      <c r="O11" s="1">
        <f>VLOOKUP(A11,'EBA2017'!A:N,12,FALSE)</f>
        <v>12</v>
      </c>
      <c r="P11" s="32">
        <f>IF(M11="No Data","No Data",M11/(10-IF(M11&lt;10,VLOOKUP($A11,'Data Gaps'!$A:$N,3,FALSE),0)))</f>
        <v>1</v>
      </c>
      <c r="Q11" s="1">
        <f>IF(N11="No Data","No Data",N11/(8-IF(N11&lt;8,VLOOKUP($A11,'Data Gaps'!$A:$N,4,FALSE),0)))</f>
        <v>0.75</v>
      </c>
      <c r="R11" s="1">
        <f>IF(O11="No Data","No Data",O11/(12-IF(O11&lt;12,VLOOKUP($A11,'Data Gaps'!$A:$N,5,FALSE),0)))</f>
        <v>1</v>
      </c>
      <c r="S11" s="32">
        <f t="shared" si="3"/>
        <v>86.648137404530132</v>
      </c>
    </row>
    <row r="12" spans="1:19" x14ac:dyDescent="0.35">
      <c r="A12" s="1" t="s">
        <v>53</v>
      </c>
      <c r="B12" s="28" t="s">
        <v>54</v>
      </c>
      <c r="C12" s="1" t="s">
        <v>7</v>
      </c>
      <c r="D12" s="1" t="s">
        <v>8</v>
      </c>
      <c r="E12" s="29" t="s">
        <v>25</v>
      </c>
      <c r="F12" s="28" t="s">
        <v>162</v>
      </c>
      <c r="G12" s="28" t="str">
        <f>VLOOKUP($A12,'EBA2017'!$A:$G,7,FALSE)</f>
        <v>One</v>
      </c>
      <c r="H12" s="32">
        <f>VLOOKUP($A12,'EBA2017'!$A:$N,13,FALSE)</f>
        <v>581</v>
      </c>
      <c r="I12" s="1">
        <f t="shared" si="2"/>
        <v>0.49662041977943766</v>
      </c>
      <c r="J12" s="1">
        <f>VLOOKUP($A12,'EBA2017'!$A:$N,14,FALSE)</f>
        <v>0</v>
      </c>
      <c r="K12" s="1">
        <f t="shared" si="0"/>
        <v>1</v>
      </c>
      <c r="L12" s="1">
        <f t="shared" si="1"/>
        <v>0.74831020988971886</v>
      </c>
      <c r="M12" s="32">
        <f>VLOOKUP(A12,'EBA2017'!A:N,10,FALSE)</f>
        <v>9</v>
      </c>
      <c r="N12" s="1">
        <f>VLOOKUP(A12,'EBA2017'!A:N,11,FALSE)</f>
        <v>7</v>
      </c>
      <c r="O12" s="1">
        <f>VLOOKUP(A12,'EBA2017'!A:N,12,FALSE)</f>
        <v>4</v>
      </c>
      <c r="P12" s="32">
        <f>IF(M12="No Data","No Data",M12/(10-IF(M12&lt;10,VLOOKUP($A12,'Data Gaps'!$A:$N,3,FALSE),0)))</f>
        <v>0.9</v>
      </c>
      <c r="Q12" s="1">
        <f>IF(N12="No Data","No Data",N12/(8-IF(N12&lt;8,VLOOKUP($A12,'Data Gaps'!$A:$N,4,FALSE),0)))</f>
        <v>0.875</v>
      </c>
      <c r="R12" s="1">
        <f>IF(O12="No Data","No Data",O12/(12-IF(O12&lt;12,VLOOKUP($A12,'Data Gaps'!$A:$N,5,FALSE),0)))</f>
        <v>0.33333333333333331</v>
      </c>
      <c r="S12" s="32">
        <f t="shared" si="3"/>
        <v>71.416088580576314</v>
      </c>
    </row>
    <row r="13" spans="1:19" x14ac:dyDescent="0.35">
      <c r="A13" s="1" t="s">
        <v>57</v>
      </c>
      <c r="B13" s="28" t="s">
        <v>58</v>
      </c>
      <c r="C13" s="1" t="s">
        <v>38</v>
      </c>
      <c r="D13" s="1" t="s">
        <v>39</v>
      </c>
      <c r="E13" s="29" t="s">
        <v>40</v>
      </c>
      <c r="F13" s="28" t="s">
        <v>159</v>
      </c>
      <c r="G13" s="28" t="str">
        <f>VLOOKUP($A13,'EBA2017'!$A:$G,7,FALSE)</f>
        <v>One</v>
      </c>
      <c r="H13" s="32">
        <f>VLOOKUP($A13,'EBA2017'!$A:$N,13,FALSE)</f>
        <v>729</v>
      </c>
      <c r="I13" s="1">
        <f t="shared" si="2"/>
        <v>0.23336890786197043</v>
      </c>
      <c r="J13" s="1">
        <f>VLOOKUP($A13,'EBA2017'!$A:$N,14,FALSE)</f>
        <v>8.6712580119792406</v>
      </c>
      <c r="K13" s="1">
        <f t="shared" si="0"/>
        <v>0.96768376122463662</v>
      </c>
      <c r="L13" s="1">
        <f t="shared" si="1"/>
        <v>0.60052633454330351</v>
      </c>
      <c r="M13" s="32">
        <f>VLOOKUP(A13,'EBA2017'!A:N,10,FALSE)</f>
        <v>8</v>
      </c>
      <c r="N13" s="1">
        <f>VLOOKUP(A13,'EBA2017'!A:N,11,FALSE)</f>
        <v>5</v>
      </c>
      <c r="O13" s="1">
        <f>VLOOKUP(A13,'EBA2017'!A:N,12,FALSE)</f>
        <v>9.5</v>
      </c>
      <c r="P13" s="32">
        <f>IF(M13="No Data","No Data",M13/(10-IF(M13&lt;10,VLOOKUP($A13,'Data Gaps'!$A:$N,3,FALSE),0)))</f>
        <v>0.8</v>
      </c>
      <c r="Q13" s="1">
        <f>IF(N13="No Data","No Data",N13/(8-IF(N13&lt;8,VLOOKUP($A13,'Data Gaps'!$A:$N,4,FALSE),0)))</f>
        <v>0.625</v>
      </c>
      <c r="R13" s="1">
        <f>IF(O13="No Data","No Data",O13/(12-IF(O13&lt;12,VLOOKUP($A13,'Data Gaps'!$A:$N,5,FALSE),0)))</f>
        <v>0.79166666666666663</v>
      </c>
      <c r="S13" s="32">
        <f t="shared" si="3"/>
        <v>70.429825030249248</v>
      </c>
    </row>
    <row r="14" spans="1:19" x14ac:dyDescent="0.35">
      <c r="A14" s="1" t="s">
        <v>64</v>
      </c>
      <c r="B14" s="28" t="s">
        <v>65</v>
      </c>
      <c r="C14" s="1" t="s">
        <v>38</v>
      </c>
      <c r="D14" s="1" t="s">
        <v>39</v>
      </c>
      <c r="E14" s="28" t="s">
        <v>40</v>
      </c>
      <c r="F14" s="28" t="s">
        <v>159</v>
      </c>
      <c r="G14" s="28" t="str">
        <f>VLOOKUP($A14,'EBA2017'!$A:$G,7,FALSE)</f>
        <v>One</v>
      </c>
      <c r="H14" s="32">
        <f>VLOOKUP($A14,'EBA2017'!$A:$N,13,FALSE)</f>
        <v>624</v>
      </c>
      <c r="I14" s="1">
        <f t="shared" si="2"/>
        <v>0.4201351832088222</v>
      </c>
      <c r="J14" s="1">
        <f>VLOOKUP($A14,'EBA2017'!$A:$N,14,FALSE)</f>
        <v>5.5809979481242911</v>
      </c>
      <c r="K14" s="1">
        <f t="shared" si="0"/>
        <v>0.97920061171663497</v>
      </c>
      <c r="L14" s="1">
        <f t="shared" si="1"/>
        <v>0.69966789746272862</v>
      </c>
      <c r="M14" s="32">
        <f>VLOOKUP(A14,'EBA2017'!A:N,10,FALSE)</f>
        <v>10</v>
      </c>
      <c r="N14" s="1">
        <f>VLOOKUP(A14,'EBA2017'!A:N,11,FALSE)</f>
        <v>5.5</v>
      </c>
      <c r="O14" s="1">
        <f>VLOOKUP(A14,'EBA2017'!A:N,12,FALSE)</f>
        <v>10.5</v>
      </c>
      <c r="P14" s="32">
        <f>IF(M14="No Data","No Data",M14/(10-IF(M14&lt;10,VLOOKUP($A14,'Data Gaps'!$A:$N,3,FALSE),0)))</f>
        <v>1</v>
      </c>
      <c r="Q14" s="1">
        <f>IF(N14="No Data","No Data",N14/(8-IF(N14&lt;8,VLOOKUP($A14,'Data Gaps'!$A:$N,4,FALSE),0)))</f>
        <v>0.6875</v>
      </c>
      <c r="R14" s="1">
        <f>IF(O14="No Data","No Data",O14/(12-IF(O14&lt;12,VLOOKUP($A14,'Data Gaps'!$A:$N,5,FALSE),0)))</f>
        <v>0.875</v>
      </c>
      <c r="S14" s="32">
        <f t="shared" si="3"/>
        <v>81.554197436568217</v>
      </c>
    </row>
    <row r="15" spans="1:19" x14ac:dyDescent="0.35">
      <c r="A15" s="1" t="s">
        <v>68</v>
      </c>
      <c r="B15" s="28" t="s">
        <v>69</v>
      </c>
      <c r="C15" s="1" t="s">
        <v>7</v>
      </c>
      <c r="D15" s="1" t="s">
        <v>8</v>
      </c>
      <c r="E15" s="28" t="s">
        <v>25</v>
      </c>
      <c r="F15" s="28" t="s">
        <v>162</v>
      </c>
      <c r="G15" s="28" t="str">
        <f>VLOOKUP($A15,'EBA2017'!$A:$G,7,FALSE)</f>
        <v>One</v>
      </c>
      <c r="H15" s="32" t="str">
        <f>VLOOKUP($A15,'EBA2017'!$A:$N,13,FALSE)</f>
        <v>No practice</v>
      </c>
      <c r="I15" s="1">
        <f t="shared" si="2"/>
        <v>0</v>
      </c>
      <c r="J15" s="1" t="str">
        <f>VLOOKUP($A15,'EBA2017'!$A:$N,14,FALSE)</f>
        <v>No practice</v>
      </c>
      <c r="K15" s="1">
        <f t="shared" si="0"/>
        <v>0</v>
      </c>
      <c r="L15" s="1">
        <f t="shared" si="1"/>
        <v>0</v>
      </c>
      <c r="M15" s="32">
        <f>VLOOKUP(A15,'EBA2017'!A:N,10,FALSE)</f>
        <v>10</v>
      </c>
      <c r="N15" s="1">
        <f>VLOOKUP(A15,'EBA2017'!A:N,11,FALSE)</f>
        <v>6.5</v>
      </c>
      <c r="O15" s="1">
        <f>VLOOKUP(A15,'EBA2017'!A:N,12,FALSE)</f>
        <v>4</v>
      </c>
      <c r="P15" s="32">
        <f>IF(M15="No Data","No Data",M15/(10-IF(M15&lt;10,VLOOKUP($A15,'Data Gaps'!$A:$N,3,FALSE),0)))</f>
        <v>1</v>
      </c>
      <c r="Q15" s="1">
        <f>IF(N15="No Data","No Data",N15/(8-IF(N15&lt;8,VLOOKUP($A15,'Data Gaps'!$A:$N,4,FALSE),0)))</f>
        <v>0.8125</v>
      </c>
      <c r="R15" s="1">
        <f>IF(O15="No Data","No Data",O15/(12-IF(O15&lt;12,VLOOKUP($A15,'Data Gaps'!$A:$N,5,FALSE),0)))</f>
        <v>0.33333333333333331</v>
      </c>
      <c r="S15" s="32">
        <f t="shared" si="3"/>
        <v>53.645833333333336</v>
      </c>
    </row>
    <row r="16" spans="1:19" x14ac:dyDescent="0.35">
      <c r="A16" s="1" t="s">
        <v>74</v>
      </c>
      <c r="B16" s="28" t="s">
        <v>75</v>
      </c>
      <c r="C16" s="1" t="s">
        <v>7</v>
      </c>
      <c r="D16" s="1" t="s">
        <v>8</v>
      </c>
      <c r="E16" s="28" t="s">
        <v>9</v>
      </c>
      <c r="F16" s="28" t="s">
        <v>161</v>
      </c>
      <c r="G16" s="28" t="str">
        <f>VLOOKUP($A16,'EBA2017'!$A:$G,7,FALSE)</f>
        <v>One</v>
      </c>
      <c r="H16" s="32">
        <f>VLOOKUP($A16,'EBA2017'!$A:$N,13,FALSE)</f>
        <v>970</v>
      </c>
      <c r="I16" s="1">
        <f t="shared" si="2"/>
        <v>0</v>
      </c>
      <c r="J16" s="1">
        <f>VLOOKUP($A16,'EBA2017'!$A:$N,14,FALSE)</f>
        <v>219.41934868282291</v>
      </c>
      <c r="K16" s="1">
        <f t="shared" si="0"/>
        <v>0.18226305177715377</v>
      </c>
      <c r="L16" s="1">
        <f t="shared" si="1"/>
        <v>9.1131525888576884E-2</v>
      </c>
      <c r="M16" s="32">
        <f>VLOOKUP(A16,'EBA2017'!A:N,10,FALSE)</f>
        <v>7</v>
      </c>
      <c r="N16" s="1">
        <f>VLOOKUP(A16,'EBA2017'!A:N,11,FALSE)</f>
        <v>4</v>
      </c>
      <c r="O16" s="1">
        <f>VLOOKUP(A16,'EBA2017'!A:N,12,FALSE)</f>
        <v>2</v>
      </c>
      <c r="P16" s="32">
        <f>IF(M16="No Data","No Data",M16/(10-IF(M16&lt;10,VLOOKUP($A16,'Data Gaps'!$A:$N,3,FALSE),0)))</f>
        <v>0.7</v>
      </c>
      <c r="Q16" s="1">
        <f>IF(N16="No Data","No Data",N16/(8-IF(N16&lt;8,VLOOKUP($A16,'Data Gaps'!$A:$N,4,FALSE),0)))</f>
        <v>0.5</v>
      </c>
      <c r="R16" s="1">
        <f>IF(O16="No Data","No Data",O16/(12-IF(O16&lt;12,VLOOKUP($A16,'Data Gaps'!$A:$N,5,FALSE),0)))</f>
        <v>0.16666666666666666</v>
      </c>
      <c r="S16" s="32">
        <f t="shared" si="3"/>
        <v>36.44495481388109</v>
      </c>
    </row>
    <row r="17" spans="1:19" x14ac:dyDescent="0.35">
      <c r="A17" s="1" t="s">
        <v>72</v>
      </c>
      <c r="B17" s="28" t="s">
        <v>73</v>
      </c>
      <c r="C17" s="1" t="s">
        <v>38</v>
      </c>
      <c r="D17" s="1" t="s">
        <v>39</v>
      </c>
      <c r="E17" s="28" t="s">
        <v>40</v>
      </c>
      <c r="F17" s="28" t="s">
        <v>161</v>
      </c>
      <c r="G17" s="28" t="str">
        <f>VLOOKUP($A17,'EBA2017'!$A:$G,7,FALSE)</f>
        <v>One</v>
      </c>
      <c r="H17" s="32">
        <f>VLOOKUP($A17,'EBA2017'!$A:$N,13,FALSE)</f>
        <v>298</v>
      </c>
      <c r="I17" s="1">
        <f t="shared" si="2"/>
        <v>1</v>
      </c>
      <c r="J17" s="1">
        <f>VLOOKUP($A17,'EBA2017'!$A:$N,14,FALSE)</f>
        <v>1.9985471545960749</v>
      </c>
      <c r="K17" s="1">
        <f t="shared" si="0"/>
        <v>0.99255176965527669</v>
      </c>
      <c r="L17" s="1">
        <f t="shared" si="1"/>
        <v>0.99627588482763829</v>
      </c>
      <c r="M17" s="32">
        <f>VLOOKUP(A17,'EBA2017'!A:N,10,FALSE)</f>
        <v>9</v>
      </c>
      <c r="N17" s="1">
        <f>VLOOKUP(A17,'EBA2017'!A:N,11,FALSE)</f>
        <v>5</v>
      </c>
      <c r="O17" s="1">
        <f>VLOOKUP(A17,'EBA2017'!A:N,12,FALSE)</f>
        <v>5.25</v>
      </c>
      <c r="P17" s="32">
        <f>IF(M17="No Data","No Data",M17/(10-IF(M17&lt;10,VLOOKUP($A17,'Data Gaps'!$A:$N,3,FALSE),0)))</f>
        <v>1</v>
      </c>
      <c r="Q17" s="1">
        <f>IF(N17="No Data","No Data",N17/(8-IF(N17&lt;8,VLOOKUP($A17,'Data Gaps'!$A:$N,4,FALSE),0)))</f>
        <v>0.625</v>
      </c>
      <c r="R17" s="1">
        <f>IF(O17="No Data","No Data",O17/(12-IF(O17&lt;12,VLOOKUP($A17,'Data Gaps'!$A:$N,5,FALSE),0)))</f>
        <v>0.47727272727272729</v>
      </c>
      <c r="S17" s="32">
        <f t="shared" si="3"/>
        <v>77.463715302509144</v>
      </c>
    </row>
    <row r="18" spans="1:19" x14ac:dyDescent="0.35">
      <c r="A18" s="1" t="s">
        <v>78</v>
      </c>
      <c r="B18" s="28" t="s">
        <v>79</v>
      </c>
      <c r="C18" s="1" t="s">
        <v>16</v>
      </c>
      <c r="D18" s="1" t="s">
        <v>17</v>
      </c>
      <c r="E18" s="28" t="s">
        <v>18</v>
      </c>
      <c r="F18" s="28" t="s">
        <v>160</v>
      </c>
      <c r="G18" s="28" t="str">
        <f>VLOOKUP($A18,'EBA2017'!$A:$G,7,FALSE)</f>
        <v>One</v>
      </c>
      <c r="H18" s="32" t="str">
        <f>VLOOKUP($A18,'EBA2017'!$A:$N,13,FALSE)</f>
        <v>No practice</v>
      </c>
      <c r="I18" s="1">
        <f t="shared" si="2"/>
        <v>0</v>
      </c>
      <c r="J18" s="1" t="str">
        <f>VLOOKUP($A18,'EBA2017'!$A:$N,14,FALSE)</f>
        <v>No practice</v>
      </c>
      <c r="K18" s="1">
        <f t="shared" si="0"/>
        <v>0</v>
      </c>
      <c r="L18" s="1">
        <f t="shared" si="1"/>
        <v>0</v>
      </c>
      <c r="M18" s="32">
        <f>VLOOKUP(A18,'EBA2017'!A:N,10,FALSE)</f>
        <v>3</v>
      </c>
      <c r="N18" s="1">
        <f>VLOOKUP(A18,'EBA2017'!A:N,11,FALSE)</f>
        <v>0</v>
      </c>
      <c r="O18" s="1">
        <f>VLOOKUP(A18,'EBA2017'!A:N,12,FALSE)</f>
        <v>0</v>
      </c>
      <c r="P18" s="32">
        <f>IF(M18="No Data","No Data",M18/(10-IF(M18&lt;10,VLOOKUP($A18,'Data Gaps'!$A:$N,3,FALSE),0)))</f>
        <v>0.3</v>
      </c>
      <c r="Q18" s="1">
        <f>IF(N18="No Data","No Data",N18/(8-IF(N18&lt;8,VLOOKUP($A18,'Data Gaps'!$A:$N,4,FALSE),0)))</f>
        <v>0</v>
      </c>
      <c r="R18" s="1">
        <f>IF(O18="No Data","No Data",O18/(12-IF(O18&lt;12,VLOOKUP($A18,'Data Gaps'!$A:$N,5,FALSE),0)))</f>
        <v>0</v>
      </c>
      <c r="S18" s="32">
        <f t="shared" si="3"/>
        <v>7.5</v>
      </c>
    </row>
    <row r="19" spans="1:19" x14ac:dyDescent="0.35">
      <c r="A19" s="1" t="s">
        <v>84</v>
      </c>
      <c r="B19" s="28" t="s">
        <v>85</v>
      </c>
      <c r="C19" s="1" t="s">
        <v>16</v>
      </c>
      <c r="D19" s="1" t="s">
        <v>17</v>
      </c>
      <c r="E19" s="28" t="s">
        <v>18</v>
      </c>
      <c r="F19" s="28" t="s">
        <v>159</v>
      </c>
      <c r="G19" s="28" t="str">
        <f>VLOOKUP($A19,'EBA2017'!$A:$G,7,FALSE)</f>
        <v>One</v>
      </c>
      <c r="H19" s="32" t="str">
        <f>VLOOKUP($A19,'EBA2017'!$A:$N,13,FALSE)</f>
        <v>No practice</v>
      </c>
      <c r="I19" s="1">
        <f t="shared" si="2"/>
        <v>0</v>
      </c>
      <c r="J19" s="1" t="str">
        <f>VLOOKUP($A19,'EBA2017'!$A:$N,14,FALSE)</f>
        <v>No practice</v>
      </c>
      <c r="K19" s="1">
        <f t="shared" si="0"/>
        <v>0</v>
      </c>
      <c r="L19" s="1">
        <f t="shared" si="1"/>
        <v>0</v>
      </c>
      <c r="M19" s="32">
        <f>VLOOKUP(A19,'EBA2017'!A:N,10,FALSE)</f>
        <v>4</v>
      </c>
      <c r="N19" s="1">
        <f>VLOOKUP(A19,'EBA2017'!A:N,11,FALSE)</f>
        <v>5</v>
      </c>
      <c r="O19" s="1">
        <f>VLOOKUP(A19,'EBA2017'!A:N,12,FALSE)</f>
        <v>5</v>
      </c>
      <c r="P19" s="32">
        <f>IF(M19="No Data","No Data",M19/(10-IF(M19&lt;10,VLOOKUP($A19,'Data Gaps'!$A:$N,3,FALSE),0)))</f>
        <v>0.4</v>
      </c>
      <c r="Q19" s="1">
        <f>IF(N19="No Data","No Data",N19/(8-IF(N19&lt;8,VLOOKUP($A19,'Data Gaps'!$A:$N,4,FALSE),0)))</f>
        <v>0.625</v>
      </c>
      <c r="R19" s="1">
        <f>IF(O19="No Data","No Data",O19/(12-IF(O19&lt;12,VLOOKUP($A19,'Data Gaps'!$A:$N,5,FALSE),0)))</f>
        <v>0.45454545454545453</v>
      </c>
      <c r="S19" s="32">
        <f t="shared" si="3"/>
        <v>36.98863636363636</v>
      </c>
    </row>
    <row r="20" spans="1:19" x14ac:dyDescent="0.35">
      <c r="A20" s="1" t="s">
        <v>96</v>
      </c>
      <c r="B20" s="28" t="s">
        <v>97</v>
      </c>
      <c r="C20" s="1" t="s">
        <v>38</v>
      </c>
      <c r="D20" s="1" t="s">
        <v>39</v>
      </c>
      <c r="E20" s="28" t="s">
        <v>40</v>
      </c>
      <c r="F20" s="28" t="s">
        <v>161</v>
      </c>
      <c r="G20" s="28" t="str">
        <f>VLOOKUP($A20,'EBA2017'!$A:$G,7,FALSE)</f>
        <v>One</v>
      </c>
      <c r="H20" s="32">
        <f>VLOOKUP($A20,'EBA2017'!$A:$N,13,FALSE)</f>
        <v>556</v>
      </c>
      <c r="I20" s="1">
        <f t="shared" si="2"/>
        <v>0.54108858057630715</v>
      </c>
      <c r="J20" s="1">
        <f>VLOOKUP($A20,'EBA2017'!$A:$N,14,FALSE)</f>
        <v>13.712385666442032</v>
      </c>
      <c r="K20" s="1">
        <f t="shared" si="0"/>
        <v>0.94889637365599921</v>
      </c>
      <c r="L20" s="1">
        <f t="shared" si="1"/>
        <v>0.74499247711615313</v>
      </c>
      <c r="M20" s="32">
        <f>VLOOKUP(A20,'EBA2017'!A:N,10,FALSE)</f>
        <v>9</v>
      </c>
      <c r="N20" s="1">
        <f>VLOOKUP(A20,'EBA2017'!A:N,11,FALSE)</f>
        <v>7</v>
      </c>
      <c r="O20" s="1">
        <f>VLOOKUP(A20,'EBA2017'!A:N,12,FALSE)</f>
        <v>12</v>
      </c>
      <c r="P20" s="32">
        <f>IF(M20="No Data","No Data",M20/(10-IF(M20&lt;10,VLOOKUP($A20,'Data Gaps'!$A:$N,3,FALSE),0)))</f>
        <v>0.9</v>
      </c>
      <c r="Q20" s="1">
        <f>IF(N20="No Data","No Data",N20/(8-IF(N20&lt;8,VLOOKUP($A20,'Data Gaps'!$A:$N,4,FALSE),0)))</f>
        <v>0.875</v>
      </c>
      <c r="R20" s="1">
        <f>IF(O20="No Data","No Data",O20/(12-IF(O20&lt;12,VLOOKUP($A20,'Data Gaps'!$A:$N,5,FALSE),0)))</f>
        <v>1</v>
      </c>
      <c r="S20" s="32">
        <f t="shared" si="3"/>
        <v>87.999811927903821</v>
      </c>
    </row>
    <row r="21" spans="1:19" x14ac:dyDescent="0.35">
      <c r="A21" s="1" t="s">
        <v>94</v>
      </c>
      <c r="B21" s="28" t="s">
        <v>95</v>
      </c>
      <c r="C21" s="1" t="s">
        <v>12</v>
      </c>
      <c r="D21" s="1" t="s">
        <v>13</v>
      </c>
      <c r="E21" s="28" t="s">
        <v>18</v>
      </c>
      <c r="F21" s="28" t="s">
        <v>160</v>
      </c>
      <c r="G21" s="28" t="str">
        <f>VLOOKUP($A21,'EBA2017'!$A:$G,7,FALSE)</f>
        <v>One</v>
      </c>
      <c r="H21" s="32">
        <f>VLOOKUP($A21,'EBA2017'!$A:$N,13,FALSE)</f>
        <v>611</v>
      </c>
      <c r="I21" s="1">
        <f t="shared" si="2"/>
        <v>0.44325862682319428</v>
      </c>
      <c r="J21" s="1">
        <f>VLOOKUP($A21,'EBA2017'!$A:$N,14,FALSE)</f>
        <v>0</v>
      </c>
      <c r="K21" s="1">
        <f t="shared" si="0"/>
        <v>1</v>
      </c>
      <c r="L21" s="1">
        <f t="shared" si="1"/>
        <v>0.7216293134115972</v>
      </c>
      <c r="M21" s="32">
        <f>VLOOKUP(A21,'EBA2017'!A:N,10,FALSE)</f>
        <v>4</v>
      </c>
      <c r="N21" s="1">
        <f>VLOOKUP(A21,'EBA2017'!A:N,11,FALSE)</f>
        <v>5.5</v>
      </c>
      <c r="O21" s="1">
        <f>VLOOKUP(A21,'EBA2017'!A:N,12,FALSE)</f>
        <v>1</v>
      </c>
      <c r="P21" s="32">
        <f>IF(M21="No Data","No Data",M21/(10-IF(M21&lt;10,VLOOKUP($A21,'Data Gaps'!$A:$N,3,FALSE),0)))</f>
        <v>0.4</v>
      </c>
      <c r="Q21" s="1">
        <f>IF(N21="No Data","No Data",N21/(8-IF(N21&lt;8,VLOOKUP($A21,'Data Gaps'!$A:$N,4,FALSE),0)))</f>
        <v>0.6875</v>
      </c>
      <c r="R21" s="1">
        <f>IF(O21="No Data","No Data",O21/(12-IF(O21&lt;12,VLOOKUP($A21,'Data Gaps'!$A:$N,5,FALSE),0)))</f>
        <v>8.3333333333333329E-2</v>
      </c>
      <c r="S21" s="32">
        <f t="shared" si="3"/>
        <v>47.311566168623258</v>
      </c>
    </row>
    <row r="22" spans="1:19" x14ac:dyDescent="0.35">
      <c r="A22" s="1" t="s">
        <v>104</v>
      </c>
      <c r="B22" s="28" t="s">
        <v>105</v>
      </c>
      <c r="C22" s="1" t="s">
        <v>21</v>
      </c>
      <c r="D22" s="1" t="s">
        <v>22</v>
      </c>
      <c r="E22" s="29" t="s">
        <v>25</v>
      </c>
      <c r="F22" s="28" t="s">
        <v>160</v>
      </c>
      <c r="G22" s="28" t="str">
        <f>VLOOKUP($A22,'EBA2017'!$A:$G,7,FALSE)</f>
        <v>One</v>
      </c>
      <c r="H22" s="32">
        <f>VLOOKUP($A22,'EBA2017'!$A:$N,13,FALSE)</f>
        <v>357</v>
      </c>
      <c r="I22" s="1">
        <f t="shared" si="2"/>
        <v>0.89505514051938806</v>
      </c>
      <c r="J22" s="1">
        <f>VLOOKUP($A22,'EBA2017'!$A:$N,14,FALSE)</f>
        <v>21.337112931525208</v>
      </c>
      <c r="K22" s="1">
        <f t="shared" si="0"/>
        <v>0.92048036913219777</v>
      </c>
      <c r="L22" s="1">
        <f t="shared" si="1"/>
        <v>0.90776775482579297</v>
      </c>
      <c r="M22" s="32">
        <f>VLOOKUP(A22,'EBA2017'!A:N,10,FALSE)</f>
        <v>7</v>
      </c>
      <c r="N22" s="1">
        <f>VLOOKUP(A22,'EBA2017'!A:N,11,FALSE)</f>
        <v>5</v>
      </c>
      <c r="O22" s="1">
        <f>VLOOKUP(A22,'EBA2017'!A:N,12,FALSE)</f>
        <v>8</v>
      </c>
      <c r="P22" s="32">
        <f>IF(M22="No Data","No Data",M22/(10-IF(M22&lt;10,VLOOKUP($A22,'Data Gaps'!$A:$N,3,FALSE),0)))</f>
        <v>0.7</v>
      </c>
      <c r="Q22" s="1">
        <f>IF(N22="No Data","No Data",N22/(8-IF(N22&lt;8,VLOOKUP($A22,'Data Gaps'!$A:$N,4,FALSE),0)))</f>
        <v>0.625</v>
      </c>
      <c r="R22" s="1">
        <f>IF(O22="No Data","No Data",O22/(12-IF(O22&lt;12,VLOOKUP($A22,'Data Gaps'!$A:$N,5,FALSE),0)))</f>
        <v>0.66666666666666663</v>
      </c>
      <c r="S22" s="32">
        <f t="shared" si="3"/>
        <v>72.485860537311481</v>
      </c>
    </row>
    <row r="23" spans="1:19" x14ac:dyDescent="0.35">
      <c r="A23" s="1" t="s">
        <v>108</v>
      </c>
      <c r="B23" s="28" t="s">
        <v>109</v>
      </c>
      <c r="C23" s="1" t="s">
        <v>38</v>
      </c>
      <c r="D23" s="1" t="s">
        <v>39</v>
      </c>
      <c r="E23" s="29" t="s">
        <v>40</v>
      </c>
      <c r="F23" s="28" t="s">
        <v>162</v>
      </c>
      <c r="G23" s="28" t="str">
        <f>VLOOKUP($A23,'EBA2017'!$A:$G,7,FALSE)</f>
        <v>One</v>
      </c>
      <c r="H23" s="32">
        <f>VLOOKUP($A23,'EBA2017'!$A:$N,13,FALSE)</f>
        <v>699</v>
      </c>
      <c r="I23" s="1">
        <f t="shared" si="2"/>
        <v>0.28673070081821378</v>
      </c>
      <c r="J23" s="1">
        <f>VLOOKUP($A23,'EBA2017'!$A:$N,14,FALSE)</f>
        <v>15.178536439332804</v>
      </c>
      <c r="K23" s="1">
        <f t="shared" si="0"/>
        <v>0.94343229008335416</v>
      </c>
      <c r="L23" s="1">
        <f t="shared" si="1"/>
        <v>0.61508149545078394</v>
      </c>
      <c r="M23" s="32">
        <f>VLOOKUP(A23,'EBA2017'!A:N,10,FALSE)</f>
        <v>10</v>
      </c>
      <c r="N23" s="1">
        <f>VLOOKUP(A23,'EBA2017'!A:N,11,FALSE)</f>
        <v>5.5</v>
      </c>
      <c r="O23" s="1">
        <f>VLOOKUP(A23,'EBA2017'!A:N,12,FALSE)</f>
        <v>11.5</v>
      </c>
      <c r="P23" s="32">
        <f>IF(M23="No Data","No Data",M23/(10-IF(M23&lt;10,VLOOKUP($A23,'Data Gaps'!$A:$N,3,FALSE),0)))</f>
        <v>1</v>
      </c>
      <c r="Q23" s="1">
        <f>IF(N23="No Data","No Data",N23/(8-IF(N23&lt;8,VLOOKUP($A23,'Data Gaps'!$A:$N,4,FALSE),0)))</f>
        <v>0.6875</v>
      </c>
      <c r="R23" s="1">
        <f>IF(O23="No Data","No Data",O23/(12-IF(O23&lt;12,VLOOKUP($A23,'Data Gaps'!$A:$N,5,FALSE),0)))</f>
        <v>0.95833333333333337</v>
      </c>
      <c r="S23" s="32">
        <f t="shared" si="3"/>
        <v>81.522870719602935</v>
      </c>
    </row>
    <row r="24" spans="1:19" x14ac:dyDescent="0.35">
      <c r="A24" s="1" t="s">
        <v>110</v>
      </c>
      <c r="B24" s="28" t="s">
        <v>111</v>
      </c>
      <c r="C24" s="1" t="s">
        <v>7</v>
      </c>
      <c r="D24" s="1" t="s">
        <v>8</v>
      </c>
      <c r="E24" s="29" t="s">
        <v>25</v>
      </c>
      <c r="F24" s="28" t="s">
        <v>162</v>
      </c>
      <c r="G24" s="28" t="str">
        <f>VLOOKUP($A24,'EBA2017'!$A:$G,7,FALSE)</f>
        <v>One</v>
      </c>
      <c r="H24" s="32">
        <f>VLOOKUP($A24,'EBA2017'!$A:$N,13,FALSE)</f>
        <v>654</v>
      </c>
      <c r="I24" s="1">
        <f t="shared" si="2"/>
        <v>0.36677339025257882</v>
      </c>
      <c r="J24" s="1">
        <f>VLOOKUP($A24,'EBA2017'!$A:$N,14,FALSE)</f>
        <v>23.156341660470691</v>
      </c>
      <c r="K24" s="1">
        <f t="shared" si="0"/>
        <v>0.91370042671664697</v>
      </c>
      <c r="L24" s="1">
        <f t="shared" si="1"/>
        <v>0.6402369084846129</v>
      </c>
      <c r="M24" s="32">
        <f>VLOOKUP(A24,'EBA2017'!A:N,10,FALSE)</f>
        <v>10</v>
      </c>
      <c r="N24" s="1">
        <f>VLOOKUP(A24,'EBA2017'!A:N,11,FALSE)</f>
        <v>5.5</v>
      </c>
      <c r="O24" s="1">
        <f>VLOOKUP(A24,'EBA2017'!A:N,12,FALSE)</f>
        <v>11</v>
      </c>
      <c r="P24" s="32">
        <f>IF(M24="No Data","No Data",M24/(10-IF(M24&lt;10,VLOOKUP($A24,'Data Gaps'!$A:$N,3,FALSE),0)))</f>
        <v>1</v>
      </c>
      <c r="Q24" s="1">
        <f>IF(N24="No Data","No Data",N24/(8-IF(N24&lt;8,VLOOKUP($A24,'Data Gaps'!$A:$N,4,FALSE),0)))</f>
        <v>0.6875</v>
      </c>
      <c r="R24" s="1">
        <f>IF(O24="No Data","No Data",O24/(12-IF(O24&lt;12,VLOOKUP($A24,'Data Gaps'!$A:$N,5,FALSE),0)))</f>
        <v>0.91666666666666663</v>
      </c>
      <c r="S24" s="32">
        <f t="shared" si="3"/>
        <v>81.110089378781979</v>
      </c>
    </row>
    <row r="25" spans="1:19" x14ac:dyDescent="0.35">
      <c r="A25" s="1" t="s">
        <v>112</v>
      </c>
      <c r="B25" s="28" t="s">
        <v>113</v>
      </c>
      <c r="C25" s="1" t="s">
        <v>7</v>
      </c>
      <c r="D25" s="1" t="s">
        <v>8</v>
      </c>
      <c r="E25" s="29" t="s">
        <v>25</v>
      </c>
      <c r="F25" s="28" t="s">
        <v>162</v>
      </c>
      <c r="G25" s="28" t="str">
        <f>VLOOKUP($A25,'EBA2017'!$A:$G,7,FALSE)</f>
        <v>One</v>
      </c>
      <c r="H25" s="32">
        <f>VLOOKUP($A25,'EBA2017'!$A:$N,13,FALSE)</f>
        <v>716</v>
      </c>
      <c r="I25" s="1">
        <f t="shared" si="2"/>
        <v>0.25649235147634253</v>
      </c>
      <c r="J25" s="1">
        <f>VLOOKUP($A25,'EBA2017'!$A:$N,14,FALSE)</f>
        <v>0</v>
      </c>
      <c r="K25" s="1">
        <f t="shared" si="0"/>
        <v>1</v>
      </c>
      <c r="L25" s="1">
        <f t="shared" si="1"/>
        <v>0.62824617573817121</v>
      </c>
      <c r="M25" s="32">
        <f>VLOOKUP(A25,'EBA2017'!A:N,10,FALSE)</f>
        <v>9</v>
      </c>
      <c r="N25" s="1">
        <f>VLOOKUP(A25,'EBA2017'!A:N,11,FALSE)</f>
        <v>7</v>
      </c>
      <c r="O25" s="1">
        <f>VLOOKUP(A25,'EBA2017'!A:N,12,FALSE)</f>
        <v>4</v>
      </c>
      <c r="P25" s="32">
        <f>IF(M25="No Data","No Data",M25/(10-IF(M25&lt;10,VLOOKUP($A25,'Data Gaps'!$A:$N,3,FALSE),0)))</f>
        <v>0.9</v>
      </c>
      <c r="Q25" s="1">
        <f>IF(N25="No Data","No Data",N25/(8-IF(N25&lt;8,VLOOKUP($A25,'Data Gaps'!$A:$N,4,FALSE),0)))</f>
        <v>0.875</v>
      </c>
      <c r="R25" s="1">
        <f>IF(O25="No Data","No Data",O25/(12-IF(O25&lt;12,VLOOKUP($A25,'Data Gaps'!$A:$N,5,FALSE),0)))</f>
        <v>0.33333333333333331</v>
      </c>
      <c r="S25" s="32">
        <f t="shared" si="3"/>
        <v>68.414487726787627</v>
      </c>
    </row>
    <row r="26" spans="1:19" x14ac:dyDescent="0.35">
      <c r="A26" s="1" t="s">
        <v>114</v>
      </c>
      <c r="B26" s="28" t="s">
        <v>115</v>
      </c>
      <c r="C26" s="1" t="s">
        <v>16</v>
      </c>
      <c r="D26" s="1" t="s">
        <v>17</v>
      </c>
      <c r="E26" s="29" t="s">
        <v>18</v>
      </c>
      <c r="F26" s="28" t="s">
        <v>160</v>
      </c>
      <c r="G26" s="28" t="str">
        <f>VLOOKUP($A26,'EBA2017'!$A:$G,7,FALSE)</f>
        <v>One</v>
      </c>
      <c r="H26" s="32" t="str">
        <f>VLOOKUP($A26,'EBA2017'!$A:$N,13,FALSE)</f>
        <v>No practice</v>
      </c>
      <c r="I26" s="1">
        <f t="shared" si="2"/>
        <v>0</v>
      </c>
      <c r="J26" s="1" t="str">
        <f>VLOOKUP($A26,'EBA2017'!$A:$N,14,FALSE)</f>
        <v>No practice</v>
      </c>
      <c r="K26" s="1">
        <f t="shared" si="0"/>
        <v>0</v>
      </c>
      <c r="L26" s="1">
        <f t="shared" si="1"/>
        <v>0</v>
      </c>
      <c r="M26" s="32">
        <f>VLOOKUP(A26,'EBA2017'!A:N,10,FALSE)</f>
        <v>6</v>
      </c>
      <c r="N26" s="1">
        <f>VLOOKUP(A26,'EBA2017'!A:N,11,FALSE)</f>
        <v>1</v>
      </c>
      <c r="O26" s="1">
        <f>VLOOKUP(A26,'EBA2017'!A:N,12,FALSE)</f>
        <v>1</v>
      </c>
      <c r="P26" s="32">
        <f>IF(M26="No Data","No Data",M26/(10-IF(M26&lt;10,VLOOKUP($A26,'Data Gaps'!$A:$N,3,FALSE),0)))</f>
        <v>0.6</v>
      </c>
      <c r="Q26" s="1">
        <f>IF(N26="No Data","No Data",N26/(8-IF(N26&lt;8,VLOOKUP($A26,'Data Gaps'!$A:$N,4,FALSE),0)))</f>
        <v>0.125</v>
      </c>
      <c r="R26" s="1">
        <f>IF(O26="No Data","No Data",O26/(12-IF(O26&lt;12,VLOOKUP($A26,'Data Gaps'!$A:$N,5,FALSE),0)))</f>
        <v>8.3333333333333329E-2</v>
      </c>
      <c r="S26" s="32">
        <f t="shared" si="3"/>
        <v>20.208333333333332</v>
      </c>
    </row>
    <row r="27" spans="1:19" x14ac:dyDescent="0.35">
      <c r="A27" s="1" t="s">
        <v>116</v>
      </c>
      <c r="B27" s="28" t="s">
        <v>117</v>
      </c>
      <c r="C27" s="1" t="s">
        <v>16</v>
      </c>
      <c r="D27" s="1" t="s">
        <v>17</v>
      </c>
      <c r="E27" s="29" t="s">
        <v>18</v>
      </c>
      <c r="F27" s="28" t="s">
        <v>162</v>
      </c>
      <c r="G27" s="28" t="str">
        <f>VLOOKUP($A27,'EBA2017'!$A:$G,7,FALSE)</f>
        <v>One</v>
      </c>
      <c r="H27" s="32">
        <f>VLOOKUP($A27,'EBA2017'!$A:$N,13,FALSE)</f>
        <v>561</v>
      </c>
      <c r="I27" s="1">
        <f t="shared" si="2"/>
        <v>0.53219494841693327</v>
      </c>
      <c r="J27" s="1">
        <f>VLOOKUP($A27,'EBA2017'!$A:$N,14,FALSE)</f>
        <v>708.47686524484971</v>
      </c>
      <c r="K27" s="1">
        <f t="shared" si="0"/>
        <v>0</v>
      </c>
      <c r="L27" s="1">
        <f t="shared" si="1"/>
        <v>0.26609747420846663</v>
      </c>
      <c r="M27" s="32">
        <f>VLOOKUP(A27,'EBA2017'!A:N,10,FALSE)</f>
        <v>7</v>
      </c>
      <c r="N27" s="1">
        <f>VLOOKUP(A27,'EBA2017'!A:N,11,FALSE)</f>
        <v>5.5</v>
      </c>
      <c r="O27" s="1">
        <f>VLOOKUP(A27,'EBA2017'!A:N,12,FALSE)</f>
        <v>5.5</v>
      </c>
      <c r="P27" s="32">
        <f>IF(M27="No Data","No Data",M27/(10-IF(M27&lt;10,VLOOKUP($A27,'Data Gaps'!$A:$N,3,FALSE),0)))</f>
        <v>0.7</v>
      </c>
      <c r="Q27" s="1">
        <f>IF(N27="No Data","No Data",N27/(8-IF(N27&lt;8,VLOOKUP($A27,'Data Gaps'!$A:$N,4,FALSE),0)))</f>
        <v>0.6875</v>
      </c>
      <c r="R27" s="1">
        <f>IF(O27="No Data","No Data",O27/(12-IF(O27&lt;12,VLOOKUP($A27,'Data Gaps'!$A:$N,5,FALSE),0)))</f>
        <v>0.45833333333333331</v>
      </c>
      <c r="S27" s="32">
        <f t="shared" si="3"/>
        <v>52.798270188545004</v>
      </c>
    </row>
    <row r="28" spans="1:19" x14ac:dyDescent="0.35">
      <c r="A28" s="1" t="s">
        <v>118</v>
      </c>
      <c r="B28" s="28" t="s">
        <v>119</v>
      </c>
      <c r="C28" s="1" t="s">
        <v>7</v>
      </c>
      <c r="D28" s="1" t="s">
        <v>8</v>
      </c>
      <c r="E28" s="29" t="s">
        <v>25</v>
      </c>
      <c r="F28" s="28" t="s">
        <v>162</v>
      </c>
      <c r="G28" s="28" t="str">
        <f>VLOOKUP($A28,'EBA2017'!$A:$G,7,FALSE)</f>
        <v>One</v>
      </c>
      <c r="H28" s="32">
        <f>VLOOKUP($A28,'EBA2017'!$A:$N,13,FALSE)</f>
        <v>604</v>
      </c>
      <c r="I28" s="1">
        <f t="shared" si="2"/>
        <v>0.45570971184631776</v>
      </c>
      <c r="J28" s="1">
        <f>VLOOKUP($A28,'EBA2017'!$A:$N,14,FALSE)</f>
        <v>0.4267664067557228</v>
      </c>
      <c r="K28" s="1">
        <f t="shared" si="0"/>
        <v>0.99840951738686934</v>
      </c>
      <c r="L28" s="1">
        <f t="shared" si="1"/>
        <v>0.72705961461659352</v>
      </c>
      <c r="M28" s="32">
        <f>VLOOKUP(A28,'EBA2017'!A:N,10,FALSE)</f>
        <v>8</v>
      </c>
      <c r="N28" s="1">
        <f>VLOOKUP(A28,'EBA2017'!A:N,11,FALSE)</f>
        <v>5</v>
      </c>
      <c r="O28" s="1">
        <f>VLOOKUP(A28,'EBA2017'!A:N,12,FALSE)</f>
        <v>7</v>
      </c>
      <c r="P28" s="32">
        <f>IF(M28="No Data","No Data",M28/(10-IF(M28&lt;10,VLOOKUP($A28,'Data Gaps'!$A:$N,3,FALSE),0)))</f>
        <v>0.8</v>
      </c>
      <c r="Q28" s="1">
        <f>IF(N28="No Data","No Data",N28/(8-IF(N28&lt;8,VLOOKUP($A28,'Data Gaps'!$A:$N,4,FALSE),0)))</f>
        <v>0.625</v>
      </c>
      <c r="R28" s="1">
        <f>IF(O28="No Data","No Data",O28/(12-IF(O28&lt;12,VLOOKUP($A28,'Data Gaps'!$A:$N,5,FALSE),0)))</f>
        <v>0.58333333333333337</v>
      </c>
      <c r="S28" s="32">
        <f t="shared" si="3"/>
        <v>68.384823698748178</v>
      </c>
    </row>
    <row r="29" spans="1:19" x14ac:dyDescent="0.35">
      <c r="A29" s="1" t="s">
        <v>126</v>
      </c>
      <c r="B29" s="28" t="s">
        <v>127</v>
      </c>
      <c r="C29" s="1" t="s">
        <v>7</v>
      </c>
      <c r="D29" s="1" t="s">
        <v>8</v>
      </c>
      <c r="E29" s="29" t="s">
        <v>9</v>
      </c>
      <c r="F29" s="28" t="s">
        <v>159</v>
      </c>
      <c r="G29" s="28" t="str">
        <f>VLOOKUP($A29,'EBA2017'!$A:$G,7,FALSE)</f>
        <v>One</v>
      </c>
      <c r="H29" s="32" t="str">
        <f>VLOOKUP($A29,'EBA2017'!$A:$N,13,FALSE)</f>
        <v>No practice</v>
      </c>
      <c r="I29" s="1">
        <f t="shared" si="2"/>
        <v>0</v>
      </c>
      <c r="J29" s="1" t="str">
        <f>VLOOKUP($A29,'EBA2017'!$A:$N,14,FALSE)</f>
        <v>No practice</v>
      </c>
      <c r="K29" s="1">
        <f t="shared" si="0"/>
        <v>0</v>
      </c>
      <c r="L29" s="1">
        <f t="shared" si="1"/>
        <v>0</v>
      </c>
      <c r="M29" s="32">
        <f>VLOOKUP(A29,'EBA2017'!A:N,10,FALSE)</f>
        <v>8</v>
      </c>
      <c r="N29" s="1">
        <f>VLOOKUP(A29,'EBA2017'!A:N,11,FALSE)</f>
        <v>4.5</v>
      </c>
      <c r="O29" s="1">
        <f>VLOOKUP(A29,'EBA2017'!A:N,12,FALSE)</f>
        <v>4</v>
      </c>
      <c r="P29" s="32">
        <f>IF(M29="No Data","No Data",M29/(10-IF(M29&lt;10,VLOOKUP($A29,'Data Gaps'!$A:$N,3,FALSE),0)))</f>
        <v>0.8</v>
      </c>
      <c r="Q29" s="1">
        <f>IF(N29="No Data","No Data",N29/(8-IF(N29&lt;8,VLOOKUP($A29,'Data Gaps'!$A:$N,4,FALSE),0)))</f>
        <v>0.5625</v>
      </c>
      <c r="R29" s="1">
        <f>IF(O29="No Data","No Data",O29/(12-IF(O29&lt;12,VLOOKUP($A29,'Data Gaps'!$A:$N,5,FALSE),0)))</f>
        <v>0.33333333333333331</v>
      </c>
      <c r="S29" s="32">
        <f t="shared" si="3"/>
        <v>42.395833333333336</v>
      </c>
    </row>
    <row r="30" spans="1:19" x14ac:dyDescent="0.35">
      <c r="A30" s="1" t="s">
        <v>132</v>
      </c>
      <c r="B30" s="28" t="s">
        <v>133</v>
      </c>
      <c r="C30" s="1" t="s">
        <v>7</v>
      </c>
      <c r="D30" s="1" t="s">
        <v>8</v>
      </c>
      <c r="E30" s="28" t="s">
        <v>25</v>
      </c>
      <c r="F30" s="28" t="s">
        <v>159</v>
      </c>
      <c r="G30" s="28" t="str">
        <f>VLOOKUP($A30,'EBA2017'!$A:$G,7,FALSE)</f>
        <v>One</v>
      </c>
      <c r="H30" s="32">
        <f>VLOOKUP($A30,'EBA2017'!$A:$N,13,FALSE)</f>
        <v>646</v>
      </c>
      <c r="I30" s="1">
        <f t="shared" si="2"/>
        <v>0.38100320170757707</v>
      </c>
      <c r="J30" s="1">
        <f>VLOOKUP($A30,'EBA2017'!$A:$N,14,FALSE)</f>
        <v>28.821370184173094</v>
      </c>
      <c r="K30" s="1">
        <f t="shared" si="0"/>
        <v>0.89258787140018669</v>
      </c>
      <c r="L30" s="1">
        <f t="shared" si="1"/>
        <v>0.63679553655388188</v>
      </c>
      <c r="M30" s="32">
        <f>VLOOKUP(A30,'EBA2017'!A:N,10,FALSE)</f>
        <v>6</v>
      </c>
      <c r="N30" s="1">
        <f>VLOOKUP(A30,'EBA2017'!A:N,11,FALSE)</f>
        <v>6.5</v>
      </c>
      <c r="O30" s="1">
        <f>VLOOKUP(A30,'EBA2017'!A:N,12,FALSE)</f>
        <v>10</v>
      </c>
      <c r="P30" s="32">
        <f>IF(M30="No Data","No Data",M30/(10-IF(M30&lt;10,VLOOKUP($A30,'Data Gaps'!$A:$N,3,FALSE),0)))</f>
        <v>0.6</v>
      </c>
      <c r="Q30" s="1">
        <f>IF(N30="No Data","No Data",N30/(8-IF(N30&lt;8,VLOOKUP($A30,'Data Gaps'!$A:$N,4,FALSE),0)))</f>
        <v>0.8125</v>
      </c>
      <c r="R30" s="1">
        <f>IF(O30="No Data","No Data",O30/(12-IF(O30&lt;12,VLOOKUP($A30,'Data Gaps'!$A:$N,5,FALSE),0)))</f>
        <v>0.83333333333333337</v>
      </c>
      <c r="S30" s="32">
        <f t="shared" si="3"/>
        <v>72.06572174718039</v>
      </c>
    </row>
    <row r="31" spans="1:19" x14ac:dyDescent="0.35">
      <c r="A31" s="1" t="s">
        <v>136</v>
      </c>
      <c r="B31" s="28" t="s">
        <v>137</v>
      </c>
      <c r="C31" s="1" t="s">
        <v>7</v>
      </c>
      <c r="D31" s="1" t="s">
        <v>8</v>
      </c>
      <c r="E31" s="28" t="s">
        <v>9</v>
      </c>
      <c r="F31" s="28" t="s">
        <v>162</v>
      </c>
      <c r="G31" s="28" t="str">
        <f>VLOOKUP($A31,'EBA2017'!$A:$G,7,FALSE)</f>
        <v>One</v>
      </c>
      <c r="H31" s="32">
        <f>VLOOKUP($A31,'EBA2017'!$A:$N,13,FALSE)</f>
        <v>714</v>
      </c>
      <c r="I31" s="1">
        <f t="shared" si="2"/>
        <v>0.26004980434009212</v>
      </c>
      <c r="J31" s="1">
        <f>VLOOKUP($A31,'EBA2017'!$A:$N,14,FALSE)</f>
        <v>25.417118954576264</v>
      </c>
      <c r="K31" s="1">
        <f t="shared" si="0"/>
        <v>0.90527491120859682</v>
      </c>
      <c r="L31" s="1">
        <f t="shared" si="1"/>
        <v>0.5826623577743445</v>
      </c>
      <c r="M31" s="32">
        <f>VLOOKUP(A31,'EBA2017'!A:N,10,FALSE)</f>
        <v>8</v>
      </c>
      <c r="N31" s="1">
        <f>VLOOKUP(A31,'EBA2017'!A:N,11,FALSE)</f>
        <v>5</v>
      </c>
      <c r="O31" s="1">
        <f>VLOOKUP(A31,'EBA2017'!A:N,12,FALSE)</f>
        <v>3</v>
      </c>
      <c r="P31" s="32">
        <f>IF(M31="No Data","No Data",M31/(10-IF(M31&lt;10,VLOOKUP($A31,'Data Gaps'!$A:$N,3,FALSE),0)))</f>
        <v>0.8</v>
      </c>
      <c r="Q31" s="1">
        <f>IF(N31="No Data","No Data",N31/(8-IF(N31&lt;8,VLOOKUP($A31,'Data Gaps'!$A:$N,4,FALSE),0)))</f>
        <v>0.625</v>
      </c>
      <c r="R31" s="1">
        <f>IF(O31="No Data","No Data",O31/(12-IF(O31&lt;12,VLOOKUP($A31,'Data Gaps'!$A:$N,5,FALSE),0)))</f>
        <v>0.25</v>
      </c>
      <c r="S31" s="32">
        <f t="shared" si="3"/>
        <v>56.441558944358619</v>
      </c>
    </row>
    <row r="32" spans="1:19" x14ac:dyDescent="0.35">
      <c r="A32" s="1" t="s">
        <v>28</v>
      </c>
      <c r="B32" s="28" t="s">
        <v>29</v>
      </c>
      <c r="C32" s="1" t="s">
        <v>16</v>
      </c>
      <c r="D32" s="1" t="s">
        <v>17</v>
      </c>
      <c r="E32" s="29" t="s">
        <v>18</v>
      </c>
      <c r="F32" s="28" t="s">
        <v>160</v>
      </c>
      <c r="G32" s="28" t="str">
        <f>VLOOKUP($A32,'EBA2017'!$A:$G,7,FALSE)</f>
        <v>Two</v>
      </c>
      <c r="H32" s="32" t="str">
        <f>VLOOKUP($A32,'EBA2017'!$A:$N,13,FALSE)</f>
        <v>No practice</v>
      </c>
      <c r="I32" s="1">
        <f t="shared" si="2"/>
        <v>0</v>
      </c>
      <c r="J32" s="1" t="str">
        <f>VLOOKUP($A32,'EBA2017'!$A:$N,14,FALSE)</f>
        <v>No practice</v>
      </c>
      <c r="K32" s="1">
        <f t="shared" si="0"/>
        <v>0</v>
      </c>
      <c r="L32" s="1">
        <f t="shared" si="1"/>
        <v>0</v>
      </c>
      <c r="M32" s="32">
        <f>VLOOKUP(A32,'EBA2017'!A:N,10,FALSE)</f>
        <v>9</v>
      </c>
      <c r="N32" s="1">
        <f>VLOOKUP(A32,'EBA2017'!A:N,11,FALSE)</f>
        <v>3.5</v>
      </c>
      <c r="O32" s="1">
        <f>VLOOKUP(A32,'EBA2017'!A:N,12,FALSE)</f>
        <v>8</v>
      </c>
      <c r="P32" s="32">
        <f>IF(M32="No Data","No Data",M32/(10-IF(M32&lt;10,VLOOKUP($A32,'Data Gaps'!$A:$N,3,FALSE),0)))</f>
        <v>0.9</v>
      </c>
      <c r="Q32" s="1">
        <f>IF(N32="No Data","No Data",N32/(8-IF(N32&lt;8,VLOOKUP($A32,'Data Gaps'!$A:$N,4,FALSE),0)))</f>
        <v>0.4375</v>
      </c>
      <c r="R32" s="1">
        <f>IF(O32="No Data","No Data",O32/(12-IF(O32&lt;12,VLOOKUP($A32,'Data Gaps'!$A:$N,5,FALSE),0)))</f>
        <v>0.66666666666666663</v>
      </c>
      <c r="S32" s="32">
        <f t="shared" si="3"/>
        <v>50.104166666666657</v>
      </c>
    </row>
    <row r="33" spans="1:19" x14ac:dyDescent="0.35">
      <c r="A33" s="1" t="s">
        <v>14</v>
      </c>
      <c r="B33" s="28" t="s">
        <v>15</v>
      </c>
      <c r="C33" s="1" t="s">
        <v>16</v>
      </c>
      <c r="D33" s="1" t="s">
        <v>17</v>
      </c>
      <c r="E33" s="29" t="s">
        <v>18</v>
      </c>
      <c r="F33" s="28" t="s">
        <v>159</v>
      </c>
      <c r="G33" s="28" t="str">
        <f>VLOOKUP($A33,'EBA2017'!$A:$G,7,FALSE)</f>
        <v>Two</v>
      </c>
      <c r="H33" s="32" t="str">
        <f>VLOOKUP($A33,'EBA2017'!$A:$N,13,FALSE)</f>
        <v>No practice</v>
      </c>
      <c r="I33" s="1">
        <f t="shared" si="2"/>
        <v>0</v>
      </c>
      <c r="J33" s="1" t="str">
        <f>VLOOKUP($A33,'EBA2017'!$A:$N,14,FALSE)</f>
        <v>No practice</v>
      </c>
      <c r="K33" s="1">
        <f t="shared" si="0"/>
        <v>0</v>
      </c>
      <c r="L33" s="1">
        <f t="shared" si="1"/>
        <v>0</v>
      </c>
      <c r="M33" s="32">
        <f>VLOOKUP(A33,'EBA2017'!A:N,10,FALSE)</f>
        <v>5</v>
      </c>
      <c r="N33" s="1">
        <f>VLOOKUP(A33,'EBA2017'!A:N,11,FALSE)</f>
        <v>4.5</v>
      </c>
      <c r="O33" s="1">
        <f>VLOOKUP(A33,'EBA2017'!A:N,12,FALSE)</f>
        <v>3</v>
      </c>
      <c r="P33" s="32">
        <f>IF(M33="No Data","No Data",M33/(10-IF(M33&lt;10,VLOOKUP($A33,'Data Gaps'!$A:$N,3,FALSE),0)))</f>
        <v>0.5</v>
      </c>
      <c r="Q33" s="1">
        <f>IF(N33="No Data","No Data",N33/(8-IF(N33&lt;8,VLOOKUP($A33,'Data Gaps'!$A:$N,4,FALSE),0)))</f>
        <v>0.5625</v>
      </c>
      <c r="R33" s="1">
        <f>IF(O33="No Data","No Data",O33/(12-IF(O33&lt;12,VLOOKUP($A33,'Data Gaps'!$A:$N,5,FALSE),0)))</f>
        <v>0.25</v>
      </c>
      <c r="S33" s="32">
        <f t="shared" si="3"/>
        <v>32.8125</v>
      </c>
    </row>
    <row r="34" spans="1:19" x14ac:dyDescent="0.35">
      <c r="A34" s="1" t="s">
        <v>26</v>
      </c>
      <c r="B34" s="28" t="s">
        <v>27</v>
      </c>
      <c r="C34" s="1" t="s">
        <v>16</v>
      </c>
      <c r="D34" s="1" t="s">
        <v>17</v>
      </c>
      <c r="E34" s="29" t="s">
        <v>18</v>
      </c>
      <c r="F34" s="28" t="s">
        <v>159</v>
      </c>
      <c r="G34" s="28" t="str">
        <f>VLOOKUP($A34,'EBA2017'!$A:$G,7,FALSE)</f>
        <v>Two</v>
      </c>
      <c r="H34" s="32" t="str">
        <f>VLOOKUP($A34,'EBA2017'!$A:$N,13,FALSE)</f>
        <v>No practice</v>
      </c>
      <c r="I34" s="1">
        <f t="shared" si="2"/>
        <v>0</v>
      </c>
      <c r="J34" s="1" t="str">
        <f>VLOOKUP($A34,'EBA2017'!$A:$N,14,FALSE)</f>
        <v>No practice</v>
      </c>
      <c r="K34" s="1">
        <f t="shared" si="0"/>
        <v>0</v>
      </c>
      <c r="L34" s="1">
        <f t="shared" si="1"/>
        <v>0</v>
      </c>
      <c r="M34" s="32">
        <f>VLOOKUP(A34,'EBA2017'!A:N,10,FALSE)</f>
        <v>2</v>
      </c>
      <c r="N34" s="1">
        <f>VLOOKUP(A34,'EBA2017'!A:N,11,FALSE)</f>
        <v>4</v>
      </c>
      <c r="O34" s="1">
        <f>VLOOKUP(A34,'EBA2017'!A:N,12,FALSE)</f>
        <v>5.5</v>
      </c>
      <c r="P34" s="32">
        <f>IF(M34="No Data","No Data",M34/(10-IF(M34&lt;10,VLOOKUP($A34,'Data Gaps'!$A:$N,3,FALSE),0)))</f>
        <v>0.2</v>
      </c>
      <c r="Q34" s="1">
        <f>IF(N34="No Data","No Data",N34/(8-IF(N34&lt;8,VLOOKUP($A34,'Data Gaps'!$A:$N,4,FALSE),0)))</f>
        <v>0.5</v>
      </c>
      <c r="R34" s="1">
        <f>IF(O34="No Data","No Data",O34/(12-IF(O34&lt;12,VLOOKUP($A34,'Data Gaps'!$A:$N,5,FALSE),0)))</f>
        <v>0.45833333333333331</v>
      </c>
      <c r="S34" s="32">
        <f t="shared" si="3"/>
        <v>28.958333333333329</v>
      </c>
    </row>
    <row r="35" spans="1:19" x14ac:dyDescent="0.35">
      <c r="A35" s="1" t="s">
        <v>10</v>
      </c>
      <c r="B35" s="28" t="s">
        <v>11</v>
      </c>
      <c r="C35" s="1" t="s">
        <v>12</v>
      </c>
      <c r="D35" s="1" t="s">
        <v>13</v>
      </c>
      <c r="E35" s="29" t="s">
        <v>9</v>
      </c>
      <c r="F35" s="28" t="s">
        <v>159</v>
      </c>
      <c r="G35" s="28" t="str">
        <f>VLOOKUP($A35,'EBA2017'!$A:$G,7,FALSE)</f>
        <v>Two</v>
      </c>
      <c r="H35" s="32" t="str">
        <f>VLOOKUP($A35,'EBA2017'!$A:$N,13,FALSE)</f>
        <v>No practice</v>
      </c>
      <c r="I35" s="1">
        <f t="shared" si="2"/>
        <v>0</v>
      </c>
      <c r="J35" s="1" t="str">
        <f>VLOOKUP($A35,'EBA2017'!$A:$N,14,FALSE)</f>
        <v>No practice</v>
      </c>
      <c r="K35" s="1">
        <f t="shared" si="0"/>
        <v>0</v>
      </c>
      <c r="L35" s="1">
        <f t="shared" si="1"/>
        <v>0</v>
      </c>
      <c r="M35" s="32">
        <f>VLOOKUP(A35,'EBA2017'!A:N,10,FALSE)</f>
        <v>6</v>
      </c>
      <c r="N35" s="1">
        <f>VLOOKUP(A35,'EBA2017'!A:N,11,FALSE)</f>
        <v>5.5</v>
      </c>
      <c r="O35" s="1">
        <f>VLOOKUP(A35,'EBA2017'!A:N,12,FALSE)</f>
        <v>1</v>
      </c>
      <c r="P35" s="32">
        <f>IF(M35="No Data","No Data",M35/(10-IF(M35&lt;10,VLOOKUP($A35,'Data Gaps'!$A:$N,3,FALSE),0)))</f>
        <v>0.6</v>
      </c>
      <c r="Q35" s="1">
        <f>IF(N35="No Data","No Data",N35/(8-IF(N35&lt;8,VLOOKUP($A35,'Data Gaps'!$A:$N,4,FALSE),0)))</f>
        <v>0.6875</v>
      </c>
      <c r="R35" s="1">
        <f>IF(O35="No Data","No Data",O35/(12-IF(O35&lt;12,VLOOKUP($A35,'Data Gaps'!$A:$N,5,FALSE),0)))</f>
        <v>8.3333333333333329E-2</v>
      </c>
      <c r="S35" s="32">
        <f t="shared" si="3"/>
        <v>34.270833333333336</v>
      </c>
    </row>
    <row r="36" spans="1:19" x14ac:dyDescent="0.35">
      <c r="A36" s="1" t="s">
        <v>19</v>
      </c>
      <c r="B36" s="28" t="s">
        <v>20</v>
      </c>
      <c r="C36" s="1" t="s">
        <v>21</v>
      </c>
      <c r="D36" s="1" t="s">
        <v>22</v>
      </c>
      <c r="E36" s="29" t="s">
        <v>9</v>
      </c>
      <c r="F36" s="28" t="s">
        <v>162</v>
      </c>
      <c r="G36" s="28" t="str">
        <f>VLOOKUP($A36,'EBA2017'!$A:$G,7,FALSE)</f>
        <v>Two</v>
      </c>
      <c r="H36" s="32">
        <f>VLOOKUP($A36,'EBA2017'!$A:$N,13,FALSE)</f>
        <v>517</v>
      </c>
      <c r="I36" s="1">
        <f t="shared" si="2"/>
        <v>0.36158603128410299</v>
      </c>
      <c r="J36" s="1">
        <f>VLOOKUP($A36,'EBA2017'!$A:$N,14,FALSE)</f>
        <v>24.452794304084573</v>
      </c>
      <c r="K36" s="1">
        <f t="shared" si="0"/>
        <v>0.97478350105058276</v>
      </c>
      <c r="L36" s="1">
        <f t="shared" si="1"/>
        <v>0.6681847661673429</v>
      </c>
      <c r="M36" s="32">
        <f>VLOOKUP(A36,'EBA2017'!A:N,10,FALSE)</f>
        <v>7</v>
      </c>
      <c r="N36" s="1">
        <f>VLOOKUP(A36,'EBA2017'!A:N,11,FALSE)</f>
        <v>5</v>
      </c>
      <c r="O36" s="1">
        <f>VLOOKUP(A36,'EBA2017'!A:N,12,FALSE)</f>
        <v>7</v>
      </c>
      <c r="P36" s="32">
        <f>IF(M36="No Data","No Data",M36/(10-IF(M36&lt;10,VLOOKUP($A36,'Data Gaps'!$A:$N,3,FALSE),0)))</f>
        <v>0.7</v>
      </c>
      <c r="Q36" s="1">
        <f>IF(N36="No Data","No Data",N36/(8-IF(N36&lt;8,VLOOKUP($A36,'Data Gaps'!$A:$N,4,FALSE),0)))</f>
        <v>0.625</v>
      </c>
      <c r="R36" s="1">
        <f>IF(O36="No Data","No Data",O36/(12-IF(O36&lt;12,VLOOKUP($A36,'Data Gaps'!$A:$N,5,FALSE),0)))</f>
        <v>0.58333333333333337</v>
      </c>
      <c r="S36" s="32">
        <f t="shared" si="3"/>
        <v>64.412952487516904</v>
      </c>
    </row>
    <row r="37" spans="1:19" x14ac:dyDescent="0.35">
      <c r="A37" s="1" t="s">
        <v>43</v>
      </c>
      <c r="B37" s="28" t="s">
        <v>44</v>
      </c>
      <c r="C37" s="1" t="s">
        <v>16</v>
      </c>
      <c r="D37" s="1" t="s">
        <v>17</v>
      </c>
      <c r="E37" s="29" t="s">
        <v>9</v>
      </c>
      <c r="F37" s="28" t="s">
        <v>160</v>
      </c>
      <c r="G37" s="28" t="str">
        <f>VLOOKUP($A37,'EBA2017'!$A:$G,7,FALSE)</f>
        <v>Two</v>
      </c>
      <c r="H37" s="32">
        <f>VLOOKUP($A37,'EBA2017'!$A:$N,13,FALSE)</f>
        <v>368</v>
      </c>
      <c r="I37" s="1">
        <f t="shared" si="2"/>
        <v>0.6325936704256091</v>
      </c>
      <c r="J37" s="1">
        <f>VLOOKUP($A37,'EBA2017'!$A:$N,14,FALSE)</f>
        <v>137.15734418444049</v>
      </c>
      <c r="K37" s="1">
        <f t="shared" si="0"/>
        <v>0.8585589858352477</v>
      </c>
      <c r="L37" s="1">
        <f t="shared" si="1"/>
        <v>0.7455763281304284</v>
      </c>
      <c r="M37" s="32">
        <f>VLOOKUP(A37,'EBA2017'!A:N,10,FALSE)</f>
        <v>6</v>
      </c>
      <c r="N37" s="1">
        <f>VLOOKUP(A37,'EBA2017'!A:N,11,FALSE)</f>
        <v>6.5</v>
      </c>
      <c r="O37" s="1">
        <f>VLOOKUP(A37,'EBA2017'!A:N,12,FALSE)</f>
        <v>3</v>
      </c>
      <c r="P37" s="32">
        <f>IF(M37="No Data","No Data",M37/(10-IF(M37&lt;10,VLOOKUP($A37,'Data Gaps'!$A:$N,3,FALSE),0)))</f>
        <v>0.6</v>
      </c>
      <c r="Q37" s="1">
        <f>IF(N37="No Data","No Data",N37/(8-IF(N37&lt;8,VLOOKUP($A37,'Data Gaps'!$A:$N,4,FALSE),0)))</f>
        <v>0.8125</v>
      </c>
      <c r="R37" s="1">
        <f>IF(O37="No Data","No Data",O37/(12-IF(O37&lt;12,VLOOKUP($A37,'Data Gaps'!$A:$N,5,FALSE),0)))</f>
        <v>0.25</v>
      </c>
      <c r="S37" s="32">
        <f t="shared" si="3"/>
        <v>60.201908203260714</v>
      </c>
    </row>
    <row r="38" spans="1:19" x14ac:dyDescent="0.35">
      <c r="A38" s="1" t="s">
        <v>34</v>
      </c>
      <c r="B38" s="28" t="s">
        <v>35</v>
      </c>
      <c r="C38" s="1" t="s">
        <v>16</v>
      </c>
      <c r="D38" s="1" t="s">
        <v>17</v>
      </c>
      <c r="E38" s="29" t="s">
        <v>9</v>
      </c>
      <c r="F38" s="28" t="s">
        <v>160</v>
      </c>
      <c r="G38" s="28" t="str">
        <f>VLOOKUP($A38,'EBA2017'!$A:$G,7,FALSE)</f>
        <v>Two</v>
      </c>
      <c r="H38" s="32" t="str">
        <f>VLOOKUP($A38,'EBA2017'!$A:$N,13,FALSE)</f>
        <v>No practice</v>
      </c>
      <c r="I38" s="1">
        <f t="shared" si="2"/>
        <v>0</v>
      </c>
      <c r="J38" s="1" t="str">
        <f>VLOOKUP($A38,'EBA2017'!$A:$N,14,FALSE)</f>
        <v>No practice</v>
      </c>
      <c r="K38" s="1">
        <f t="shared" si="0"/>
        <v>0</v>
      </c>
      <c r="L38" s="1">
        <f t="shared" si="1"/>
        <v>0</v>
      </c>
      <c r="M38" s="32">
        <f>VLOOKUP(A38,'EBA2017'!A:N,10,FALSE)</f>
        <v>3</v>
      </c>
      <c r="N38" s="1">
        <f>VLOOKUP(A38,'EBA2017'!A:N,11,FALSE)</f>
        <v>3.5</v>
      </c>
      <c r="O38" s="1">
        <f>VLOOKUP(A38,'EBA2017'!A:N,12,FALSE)</f>
        <v>3</v>
      </c>
      <c r="P38" s="32">
        <f>IF(M38="No Data","No Data",M38/(10-IF(M38&lt;10,VLOOKUP($A38,'Data Gaps'!$A:$N,3,FALSE),0)))</f>
        <v>0.3</v>
      </c>
      <c r="Q38" s="1">
        <f>IF(N38="No Data","No Data",N38/(8-IF(N38&lt;8,VLOOKUP($A38,'Data Gaps'!$A:$N,4,FALSE),0)))</f>
        <v>0.4375</v>
      </c>
      <c r="R38" s="1">
        <f>IF(O38="No Data","No Data",O38/(12-IF(O38&lt;12,VLOOKUP($A38,'Data Gaps'!$A:$N,5,FALSE),0)))</f>
        <v>0.25</v>
      </c>
      <c r="S38" s="32">
        <f t="shared" si="3"/>
        <v>24.6875</v>
      </c>
    </row>
    <row r="39" spans="1:19" x14ac:dyDescent="0.35">
      <c r="A39" s="1" t="s">
        <v>41</v>
      </c>
      <c r="B39" s="28" t="s">
        <v>42</v>
      </c>
      <c r="C39" s="1" t="s">
        <v>21</v>
      </c>
      <c r="D39" s="1" t="s">
        <v>22</v>
      </c>
      <c r="E39" s="29" t="s">
        <v>25</v>
      </c>
      <c r="F39" s="28" t="s">
        <v>160</v>
      </c>
      <c r="G39" s="28" t="str">
        <f>VLOOKUP($A39,'EBA2017'!$A:$G,7,FALSE)</f>
        <v>Two</v>
      </c>
      <c r="H39" s="32">
        <f>VLOOKUP($A39,'EBA2017'!$A:$N,13,FALSE)</f>
        <v>591</v>
      </c>
      <c r="I39" s="1">
        <f t="shared" si="2"/>
        <v>0.22699163332120734</v>
      </c>
      <c r="J39" s="1">
        <f>VLOOKUP($A39,'EBA2017'!$A:$N,14,FALSE)</f>
        <v>53.413718456254543</v>
      </c>
      <c r="K39" s="1">
        <f t="shared" ref="K39:K68" si="4">IF(G39="One",IF(J39="No practice",0,IF(J39&gt;$J$2,0,($J$2-J39)/($J$2-$J$3))),IF(J39="No practice",0,IF(J39&gt;$J$4,0,($J$4-J39)/($J$4-$J$5))))</f>
        <v>0.94491807526832938</v>
      </c>
      <c r="L39" s="1">
        <f t="shared" ref="L39:L68" si="5">AVERAGE(I39,K39)</f>
        <v>0.58595485429476835</v>
      </c>
      <c r="M39" s="32">
        <f>VLOOKUP(A39,'EBA2017'!A:N,10,FALSE)</f>
        <v>9</v>
      </c>
      <c r="N39" s="1">
        <f>VLOOKUP(A39,'EBA2017'!A:N,11,FALSE)</f>
        <v>4</v>
      </c>
      <c r="O39" s="1">
        <f>VLOOKUP(A39,'EBA2017'!A:N,12,FALSE)</f>
        <v>6.5</v>
      </c>
      <c r="P39" s="32">
        <f>IF(M39="No Data","No Data",M39/(10-IF(M39&lt;10,VLOOKUP($A39,'Data Gaps'!$A:$N,3,FALSE),0)))</f>
        <v>0.9</v>
      </c>
      <c r="Q39" s="1">
        <f>IF(N39="No Data","No Data",N39/(8-IF(N39&lt;8,VLOOKUP($A39,'Data Gaps'!$A:$N,4,FALSE),0)))</f>
        <v>0.5</v>
      </c>
      <c r="R39" s="1">
        <f>IF(O39="No Data","No Data",O39/(12-IF(O39&lt;12,VLOOKUP($A39,'Data Gaps'!$A:$N,5,FALSE),0)))</f>
        <v>0.54166666666666663</v>
      </c>
      <c r="S39" s="32">
        <f t="shared" si="3"/>
        <v>63.190538024035867</v>
      </c>
    </row>
    <row r="40" spans="1:19" x14ac:dyDescent="0.35">
      <c r="A40" s="1" t="s">
        <v>47</v>
      </c>
      <c r="B40" s="28" t="s">
        <v>48</v>
      </c>
      <c r="C40" s="1" t="s">
        <v>49</v>
      </c>
      <c r="D40" s="1" t="s">
        <v>50</v>
      </c>
      <c r="E40" s="29" t="s">
        <v>9</v>
      </c>
      <c r="F40" s="28" t="s">
        <v>159</v>
      </c>
      <c r="G40" s="28" t="str">
        <f>VLOOKUP($A40,'EBA2017'!$A:$G,7,FALSE)</f>
        <v>Two</v>
      </c>
      <c r="H40" s="32">
        <f>VLOOKUP($A40,'EBA2017'!$A:$N,13,FALSE)</f>
        <v>599</v>
      </c>
      <c r="I40" s="1">
        <f t="shared" si="2"/>
        <v>0.21244088759548888</v>
      </c>
      <c r="J40" s="1">
        <f>VLOOKUP($A40,'EBA2017'!$A:$N,14,FALSE)</f>
        <v>184.28918503721331</v>
      </c>
      <c r="K40" s="1">
        <f t="shared" si="4"/>
        <v>0.80995513301710498</v>
      </c>
      <c r="L40" s="1">
        <f t="shared" si="5"/>
        <v>0.51119801030629697</v>
      </c>
      <c r="M40" s="32">
        <f>VLOOKUP(A40,'EBA2017'!A:N,10,FALSE)</f>
        <v>8</v>
      </c>
      <c r="N40" s="1">
        <f>VLOOKUP(A40,'EBA2017'!A:N,11,FALSE)</f>
        <v>5</v>
      </c>
      <c r="O40" s="1">
        <f>VLOOKUP(A40,'EBA2017'!A:N,12,FALSE)</f>
        <v>2</v>
      </c>
      <c r="P40" s="32">
        <f>IF(M40="No Data","No Data",M40/(10-IF(M40&lt;10,VLOOKUP($A40,'Data Gaps'!$A:$N,3,FALSE),0)))</f>
        <v>0.8</v>
      </c>
      <c r="Q40" s="1">
        <f>IF(N40="No Data","No Data",N40/(8-IF(N40&lt;8,VLOOKUP($A40,'Data Gaps'!$A:$N,4,FALSE),0)))</f>
        <v>0.625</v>
      </c>
      <c r="R40" s="1">
        <f>IF(O40="No Data","No Data",O40/(12-IF(O40&lt;12,VLOOKUP($A40,'Data Gaps'!$A:$N,5,FALSE),0)))</f>
        <v>0.16666666666666666</v>
      </c>
      <c r="S40" s="32">
        <f t="shared" si="3"/>
        <v>52.571616924324097</v>
      </c>
    </row>
    <row r="41" spans="1:19" x14ac:dyDescent="0.35">
      <c r="A41" s="1" t="s">
        <v>51</v>
      </c>
      <c r="B41" s="28" t="s">
        <v>52</v>
      </c>
      <c r="C41" s="1" t="s">
        <v>16</v>
      </c>
      <c r="D41" s="1" t="s">
        <v>17</v>
      </c>
      <c r="E41" s="29" t="s">
        <v>18</v>
      </c>
      <c r="F41" s="28" t="s">
        <v>160</v>
      </c>
      <c r="G41" s="28" t="str">
        <f>VLOOKUP($A41,'EBA2017'!$A:$G,7,FALSE)</f>
        <v>Two</v>
      </c>
      <c r="H41" s="32">
        <f>VLOOKUP($A41,'EBA2017'!$A:$N,13,FALSE)</f>
        <v>620</v>
      </c>
      <c r="I41" s="1">
        <f t="shared" si="2"/>
        <v>0.17424518006547796</v>
      </c>
      <c r="J41" s="1">
        <f>VLOOKUP($A41,'EBA2017'!$A:$N,14,FALSE)</f>
        <v>77.778777683273688</v>
      </c>
      <c r="K41" s="1">
        <f t="shared" si="4"/>
        <v>0.9197920515198702</v>
      </c>
      <c r="L41" s="1">
        <f t="shared" si="5"/>
        <v>0.54701861579267408</v>
      </c>
      <c r="M41" s="32">
        <f>VLOOKUP(A41,'EBA2017'!A:N,10,FALSE)</f>
        <v>6</v>
      </c>
      <c r="N41" s="1">
        <f>VLOOKUP(A41,'EBA2017'!A:N,11,FALSE)</f>
        <v>4.5</v>
      </c>
      <c r="O41" s="1">
        <f>VLOOKUP(A41,'EBA2017'!A:N,12,FALSE)</f>
        <v>4</v>
      </c>
      <c r="P41" s="32">
        <f>IF(M41="No Data","No Data",M41/(10-IF(M41&lt;10,VLOOKUP($A41,'Data Gaps'!$A:$N,3,FALSE),0)))</f>
        <v>0.6</v>
      </c>
      <c r="Q41" s="1">
        <f>IF(N41="No Data","No Data",N41/(8-IF(N41&lt;8,VLOOKUP($A41,'Data Gaps'!$A:$N,4,FALSE),0)))</f>
        <v>0.5625</v>
      </c>
      <c r="R41" s="1">
        <f>IF(O41="No Data","No Data",O41/(12-IF(O41&lt;12,VLOOKUP($A41,'Data Gaps'!$A:$N,5,FALSE),0)))</f>
        <v>0.33333333333333331</v>
      </c>
      <c r="S41" s="32">
        <f t="shared" si="3"/>
        <v>51.071298728150182</v>
      </c>
    </row>
    <row r="42" spans="1:19" x14ac:dyDescent="0.35">
      <c r="A42" s="1" t="s">
        <v>55</v>
      </c>
      <c r="B42" s="28" t="s">
        <v>56</v>
      </c>
      <c r="C42" s="1" t="s">
        <v>16</v>
      </c>
      <c r="D42" s="1" t="s">
        <v>17</v>
      </c>
      <c r="E42" s="29" t="s">
        <v>9</v>
      </c>
      <c r="F42" s="28" t="s">
        <v>160</v>
      </c>
      <c r="G42" s="28" t="str">
        <f>VLOOKUP($A42,'EBA2017'!$A:$G,7,FALSE)</f>
        <v>Two</v>
      </c>
      <c r="H42" s="32">
        <f>VLOOKUP($A42,'EBA2017'!$A:$N,13,FALSE)</f>
        <v>757</v>
      </c>
      <c r="I42" s="1">
        <f t="shared" si="2"/>
        <v>0</v>
      </c>
      <c r="J42" s="1">
        <f>VLOOKUP($A42,'EBA2017'!$A:$N,14,FALSE)</f>
        <v>1091.6197014380564</v>
      </c>
      <c r="K42" s="1">
        <f t="shared" si="4"/>
        <v>0</v>
      </c>
      <c r="L42" s="1">
        <f t="shared" si="5"/>
        <v>0</v>
      </c>
      <c r="M42" s="32">
        <f>VLOOKUP(A42,'EBA2017'!A:N,10,FALSE)</f>
        <v>4</v>
      </c>
      <c r="N42" s="1">
        <f>VLOOKUP(A42,'EBA2017'!A:N,11,FALSE)</f>
        <v>6</v>
      </c>
      <c r="O42" s="1">
        <f>VLOOKUP(A42,'EBA2017'!A:N,12,FALSE)</f>
        <v>8.5</v>
      </c>
      <c r="P42" s="32">
        <f>IF(M42="No Data","No Data",M42/(10-IF(M42&lt;10,VLOOKUP($A42,'Data Gaps'!$A:$N,3,FALSE),0)))</f>
        <v>0.4</v>
      </c>
      <c r="Q42" s="1">
        <f>IF(N42="No Data","No Data",N42/(8-IF(N42&lt;8,VLOOKUP($A42,'Data Gaps'!$A:$N,4,FALSE),0)))</f>
        <v>0.75</v>
      </c>
      <c r="R42" s="1">
        <f>IF(O42="No Data","No Data",O42/(12-IF(O42&lt;12,VLOOKUP($A42,'Data Gaps'!$A:$N,5,FALSE),0)))</f>
        <v>0.70833333333333337</v>
      </c>
      <c r="S42" s="32">
        <f t="shared" si="3"/>
        <v>46.458333333333336</v>
      </c>
    </row>
    <row r="43" spans="1:19" x14ac:dyDescent="0.35">
      <c r="A43" s="1" t="s">
        <v>59</v>
      </c>
      <c r="B43" s="28" t="s">
        <v>60</v>
      </c>
      <c r="C43" s="1" t="s">
        <v>21</v>
      </c>
      <c r="D43" s="1" t="s">
        <v>22</v>
      </c>
      <c r="E43" s="28" t="s">
        <v>9</v>
      </c>
      <c r="F43" s="28" t="s">
        <v>159</v>
      </c>
      <c r="G43" s="28" t="str">
        <f>VLOOKUP($A43,'EBA2017'!$A:$G,7,FALSE)</f>
        <v>Two</v>
      </c>
      <c r="H43" s="32">
        <f>VLOOKUP($A43,'EBA2017'!$A:$N,13,FALSE)</f>
        <v>166</v>
      </c>
      <c r="I43" s="1">
        <f t="shared" si="2"/>
        <v>1</v>
      </c>
      <c r="J43" s="1">
        <f>VLOOKUP($A43,'EBA2017'!$A:$N,14,FALSE)</f>
        <v>1.8802228412256268</v>
      </c>
      <c r="K43" s="1">
        <f t="shared" si="4"/>
        <v>0.99806105442548476</v>
      </c>
      <c r="L43" s="1">
        <f t="shared" si="5"/>
        <v>0.99903052721274244</v>
      </c>
      <c r="M43" s="32">
        <f>VLOOKUP(A43,'EBA2017'!A:N,10,FALSE)</f>
        <v>5</v>
      </c>
      <c r="N43" s="1">
        <f>VLOOKUP(A43,'EBA2017'!A:N,11,FALSE)</f>
        <v>4.5</v>
      </c>
      <c r="O43" s="1">
        <f>VLOOKUP(A43,'EBA2017'!A:N,12,FALSE)</f>
        <v>6</v>
      </c>
      <c r="P43" s="32">
        <f>IF(M43="No Data","No Data",M43/(10-IF(M43&lt;10,VLOOKUP($A43,'Data Gaps'!$A:$N,3,FALSE),0)))</f>
        <v>0.5</v>
      </c>
      <c r="Q43" s="1">
        <f>IF(N43="No Data","No Data",N43/(8-IF(N43&lt;8,VLOOKUP($A43,'Data Gaps'!$A:$N,4,FALSE),0)))</f>
        <v>0.5625</v>
      </c>
      <c r="R43" s="1">
        <f>IF(O43="No Data","No Data",O43/(12-IF(O43&lt;12,VLOOKUP($A43,'Data Gaps'!$A:$N,5,FALSE),0)))</f>
        <v>0.5</v>
      </c>
      <c r="S43" s="32">
        <f t="shared" si="3"/>
        <v>64.038263180318552</v>
      </c>
    </row>
    <row r="44" spans="1:19" x14ac:dyDescent="0.35">
      <c r="A44" s="1" t="s">
        <v>61</v>
      </c>
      <c r="B44" s="28" t="s">
        <v>62</v>
      </c>
      <c r="C44" s="1" t="s">
        <v>21</v>
      </c>
      <c r="D44" s="1" t="s">
        <v>22</v>
      </c>
      <c r="E44" s="28" t="s">
        <v>18</v>
      </c>
      <c r="F44" s="28" t="s">
        <v>159</v>
      </c>
      <c r="G44" s="28" t="str">
        <f>VLOOKUP($A44,'EBA2017'!$A:$G,7,FALSE)</f>
        <v>Two</v>
      </c>
      <c r="H44" s="32" t="str">
        <f>VLOOKUP($A44,'EBA2017'!$A:$N,13,FALSE)</f>
        <v>No practice</v>
      </c>
      <c r="I44" s="1">
        <f t="shared" si="2"/>
        <v>0</v>
      </c>
      <c r="J44" s="1" t="str">
        <f>VLOOKUP($A44,'EBA2017'!$A:$N,14,FALSE)</f>
        <v>No practice</v>
      </c>
      <c r="K44" s="1">
        <f t="shared" si="4"/>
        <v>0</v>
      </c>
      <c r="L44" s="1">
        <f t="shared" si="5"/>
        <v>0</v>
      </c>
      <c r="M44" s="32">
        <f>VLOOKUP(A44,'EBA2017'!A:N,10,FALSE)</f>
        <v>4</v>
      </c>
      <c r="N44" s="1">
        <f>VLOOKUP(A44,'EBA2017'!A:N,11,FALSE)</f>
        <v>0</v>
      </c>
      <c r="O44" s="1">
        <f>VLOOKUP(A44,'EBA2017'!A:N,12,FALSE)</f>
        <v>0</v>
      </c>
      <c r="P44" s="32">
        <f>IF(M44="No Data","No Data",M44/(10-IF(M44&lt;10,VLOOKUP($A44,'Data Gaps'!$A:$N,3,FALSE),0)))</f>
        <v>0.4</v>
      </c>
      <c r="Q44" s="1">
        <f>IF(N44="No Data","No Data",N44/(8-IF(N44&lt;8,VLOOKUP($A44,'Data Gaps'!$A:$N,4,FALSE),0)))</f>
        <v>0</v>
      </c>
      <c r="R44" s="1">
        <f>IF(O44="No Data","No Data",O44/(12-IF(O44&lt;12,VLOOKUP($A44,'Data Gaps'!$A:$N,5,FALSE),0)))</f>
        <v>0</v>
      </c>
      <c r="S44" s="32">
        <f t="shared" si="3"/>
        <v>10</v>
      </c>
    </row>
    <row r="45" spans="1:19" x14ac:dyDescent="0.35">
      <c r="A45" s="1" t="s">
        <v>63</v>
      </c>
      <c r="B45" s="28" t="s">
        <v>146</v>
      </c>
      <c r="C45" s="1" t="s">
        <v>12</v>
      </c>
      <c r="D45" s="1" t="s">
        <v>13</v>
      </c>
      <c r="E45" s="28" t="s">
        <v>9</v>
      </c>
      <c r="F45" s="28" t="s">
        <v>162</v>
      </c>
      <c r="G45" s="28" t="str">
        <f>VLOOKUP($A45,'EBA2017'!$A:$G,7,FALSE)</f>
        <v>Two</v>
      </c>
      <c r="H45" s="32">
        <f>VLOOKUP($A45,'EBA2017'!$A:$N,13,FALSE)</f>
        <v>397</v>
      </c>
      <c r="I45" s="1">
        <f t="shared" si="2"/>
        <v>0.57984721716987975</v>
      </c>
      <c r="J45" s="1">
        <f>VLOOKUP($A45,'EBA2017'!$A:$N,14,FALSE)</f>
        <v>98.739280394767107</v>
      </c>
      <c r="K45" s="1">
        <f t="shared" si="4"/>
        <v>0.89817691469620908</v>
      </c>
      <c r="L45" s="1">
        <f t="shared" si="5"/>
        <v>0.73901206593304436</v>
      </c>
      <c r="M45" s="32">
        <f>VLOOKUP(A45,'EBA2017'!A:N,10,FALSE)</f>
        <v>8</v>
      </c>
      <c r="N45" s="1">
        <f>VLOOKUP(A45,'EBA2017'!A:N,11,FALSE)</f>
        <v>6</v>
      </c>
      <c r="O45" s="1">
        <f>VLOOKUP(A45,'EBA2017'!A:N,12,FALSE)</f>
        <v>4.5</v>
      </c>
      <c r="P45" s="32">
        <f>IF(M45="No Data","No Data",M45/(10-IF(M45&lt;10,VLOOKUP($A45,'Data Gaps'!$A:$N,3,FALSE),0)))</f>
        <v>0.8</v>
      </c>
      <c r="Q45" s="1">
        <f>IF(N45="No Data","No Data",N45/(8-IF(N45&lt;8,VLOOKUP($A45,'Data Gaps'!$A:$N,4,FALSE),0)))</f>
        <v>0.75</v>
      </c>
      <c r="R45" s="1">
        <f>IF(O45="No Data","No Data",O45/(12-IF(O45&lt;12,VLOOKUP($A45,'Data Gaps'!$A:$N,5,FALSE),0)))</f>
        <v>0.375</v>
      </c>
      <c r="S45" s="32">
        <f t="shared" si="3"/>
        <v>66.600301648326109</v>
      </c>
    </row>
    <row r="46" spans="1:19" x14ac:dyDescent="0.35">
      <c r="A46" s="1" t="s">
        <v>66</v>
      </c>
      <c r="B46" s="28" t="s">
        <v>67</v>
      </c>
      <c r="C46" s="1" t="s">
        <v>49</v>
      </c>
      <c r="D46" s="1" t="s">
        <v>50</v>
      </c>
      <c r="E46" s="28" t="s">
        <v>25</v>
      </c>
      <c r="F46" s="28" t="s">
        <v>161</v>
      </c>
      <c r="G46" s="28" t="str">
        <f>VLOOKUP($A46,'EBA2017'!$A:$G,7,FALSE)</f>
        <v>Two</v>
      </c>
      <c r="H46" s="32">
        <f>VLOOKUP($A46,'EBA2017'!$A:$N,13,FALSE)</f>
        <v>514</v>
      </c>
      <c r="I46" s="1">
        <f t="shared" si="2"/>
        <v>0.36704256093124743</v>
      </c>
      <c r="J46" s="1">
        <f>VLOOKUP($A46,'EBA2017'!$A:$N,14,FALSE)</f>
        <v>57.767487237509265</v>
      </c>
      <c r="K46" s="1">
        <f t="shared" si="4"/>
        <v>0.94042833047543362</v>
      </c>
      <c r="L46" s="1">
        <f t="shared" si="5"/>
        <v>0.65373544570334052</v>
      </c>
      <c r="M46" s="32">
        <f>VLOOKUP(A46,'EBA2017'!A:N,10,FALSE)</f>
        <v>10</v>
      </c>
      <c r="N46" s="1">
        <f>VLOOKUP(A46,'EBA2017'!A:N,11,FALSE)</f>
        <v>6</v>
      </c>
      <c r="O46" s="1">
        <f>VLOOKUP(A46,'EBA2017'!A:N,12,FALSE)</f>
        <v>3</v>
      </c>
      <c r="P46" s="32">
        <f>IF(M46="No Data","No Data",M46/(10-IF(M46&lt;10,VLOOKUP($A46,'Data Gaps'!$A:$N,3,FALSE),0)))</f>
        <v>1</v>
      </c>
      <c r="Q46" s="1">
        <f>IF(N46="No Data","No Data",N46/(8-IF(N46&lt;8,VLOOKUP($A46,'Data Gaps'!$A:$N,4,FALSE),0)))</f>
        <v>0.75</v>
      </c>
      <c r="R46" s="1">
        <f>IF(O46="No Data","No Data",O46/(12-IF(O46&lt;12,VLOOKUP($A46,'Data Gaps'!$A:$N,5,FALSE),0)))</f>
        <v>0.25</v>
      </c>
      <c r="S46" s="32">
        <f t="shared" si="3"/>
        <v>66.343386142583512</v>
      </c>
    </row>
    <row r="47" spans="1:19" x14ac:dyDescent="0.35">
      <c r="A47" s="1" t="s">
        <v>70</v>
      </c>
      <c r="B47" s="28" t="s">
        <v>71</v>
      </c>
      <c r="C47" s="1" t="s">
        <v>16</v>
      </c>
      <c r="D47" s="1" t="s">
        <v>17</v>
      </c>
      <c r="E47" s="28" t="s">
        <v>9</v>
      </c>
      <c r="F47" s="28" t="s">
        <v>160</v>
      </c>
      <c r="G47" s="28" t="str">
        <f>VLOOKUP($A47,'EBA2017'!$A:$G,7,FALSE)</f>
        <v>Two</v>
      </c>
      <c r="H47" s="32">
        <f>VLOOKUP($A47,'EBA2017'!$A:$N,13,FALSE)</f>
        <v>322</v>
      </c>
      <c r="I47" s="1">
        <f t="shared" si="2"/>
        <v>0.71626045834849017</v>
      </c>
      <c r="J47" s="1">
        <f>VLOOKUP($A47,'EBA2017'!$A:$N,14,FALSE)</f>
        <v>123.167870074373</v>
      </c>
      <c r="K47" s="1">
        <f t="shared" si="4"/>
        <v>0.87298537632512685</v>
      </c>
      <c r="L47" s="1">
        <f t="shared" si="5"/>
        <v>0.79462291733680845</v>
      </c>
      <c r="M47" s="32">
        <f>VLOOKUP(A47,'EBA2017'!A:N,10,FALSE)</f>
        <v>10</v>
      </c>
      <c r="N47" s="1">
        <f>VLOOKUP(A47,'EBA2017'!A:N,11,FALSE)</f>
        <v>7</v>
      </c>
      <c r="O47" s="1">
        <f>VLOOKUP(A47,'EBA2017'!A:N,12,FALSE)</f>
        <v>6</v>
      </c>
      <c r="P47" s="32">
        <f>IF(M47="No Data","No Data",M47/(10-IF(M47&lt;10,VLOOKUP($A47,'Data Gaps'!$A:$N,3,FALSE),0)))</f>
        <v>1</v>
      </c>
      <c r="Q47" s="1">
        <f>IF(N47="No Data","No Data",N47/(8-IF(N47&lt;8,VLOOKUP($A47,'Data Gaps'!$A:$N,4,FALSE),0)))</f>
        <v>0.875</v>
      </c>
      <c r="R47" s="1">
        <f>IF(O47="No Data","No Data",O47/(12-IF(O47&lt;12,VLOOKUP($A47,'Data Gaps'!$A:$N,5,FALSE),0)))</f>
        <v>0.5</v>
      </c>
      <c r="S47" s="32">
        <f t="shared" si="3"/>
        <v>79.240572933420211</v>
      </c>
    </row>
    <row r="48" spans="1:19" x14ac:dyDescent="0.35">
      <c r="A48" s="1" t="s">
        <v>30</v>
      </c>
      <c r="B48" s="28" t="s">
        <v>31</v>
      </c>
      <c r="C48" s="1" t="s">
        <v>32</v>
      </c>
      <c r="D48" s="1" t="s">
        <v>33</v>
      </c>
      <c r="E48" s="29" t="s">
        <v>9</v>
      </c>
      <c r="F48" s="28" t="s">
        <v>162</v>
      </c>
      <c r="G48" s="28" t="str">
        <f>VLOOKUP($A48,'EBA2017'!$A:$G,7,FALSE)</f>
        <v>Two</v>
      </c>
      <c r="H48" s="32">
        <f>VLOOKUP($A48,'EBA2017'!$A:$N,13,FALSE)</f>
        <v>407</v>
      </c>
      <c r="I48" s="1">
        <f t="shared" si="2"/>
        <v>0.5616587850127317</v>
      </c>
      <c r="J48" s="1">
        <f>VLOOKUP($A48,'EBA2017'!$A:$N,14,FALSE)</f>
        <v>17.251872921867157</v>
      </c>
      <c r="K48" s="1">
        <f t="shared" si="4"/>
        <v>0.98220932012923057</v>
      </c>
      <c r="L48" s="1">
        <f t="shared" si="5"/>
        <v>0.77193405257098113</v>
      </c>
      <c r="M48" s="32">
        <f>VLOOKUP(A48,'EBA2017'!A:N,10,FALSE)</f>
        <v>8</v>
      </c>
      <c r="N48" s="1">
        <f>VLOOKUP(A48,'EBA2017'!A:N,11,FALSE)</f>
        <v>2</v>
      </c>
      <c r="O48" s="1">
        <f>VLOOKUP(A48,'EBA2017'!A:N,12,FALSE)</f>
        <v>3</v>
      </c>
      <c r="P48" s="32">
        <f>IF(M48="No Data","No Data",M48/(10-IF(M48&lt;10,VLOOKUP($A48,'Data Gaps'!$A:$N,3,FALSE),0)))</f>
        <v>0.8</v>
      </c>
      <c r="Q48" s="1">
        <f>IF(N48="No Data","No Data",N48/(8-IF(N48&lt;8,VLOOKUP($A48,'Data Gaps'!$A:$N,4,FALSE),0)))</f>
        <v>0.25</v>
      </c>
      <c r="R48" s="1">
        <f>IF(O48="No Data","No Data",O48/(12-IF(O48&lt;12,VLOOKUP($A48,'Data Gaps'!$A:$N,5,FALSE),0)))</f>
        <v>0.25</v>
      </c>
      <c r="S48" s="32">
        <f t="shared" si="3"/>
        <v>51.798351314274527</v>
      </c>
    </row>
    <row r="49" spans="1:19" x14ac:dyDescent="0.35">
      <c r="A49" s="1" t="s">
        <v>76</v>
      </c>
      <c r="B49" s="28" t="s">
        <v>77</v>
      </c>
      <c r="C49" s="1" t="s">
        <v>32</v>
      </c>
      <c r="D49" s="1" t="s">
        <v>33</v>
      </c>
      <c r="E49" s="28" t="s">
        <v>9</v>
      </c>
      <c r="F49" s="28" t="s">
        <v>160</v>
      </c>
      <c r="G49" s="28" t="str">
        <f>VLOOKUP($A49,'EBA2017'!$A:$G,7,FALSE)</f>
        <v>Two</v>
      </c>
      <c r="H49" s="32" t="str">
        <f>VLOOKUP($A49,'EBA2017'!$A:$N,13,FALSE)</f>
        <v>No practice</v>
      </c>
      <c r="I49" s="1">
        <f t="shared" si="2"/>
        <v>0</v>
      </c>
      <c r="J49" s="1" t="str">
        <f>VLOOKUP($A49,'EBA2017'!$A:$N,14,FALSE)</f>
        <v>No practice</v>
      </c>
      <c r="K49" s="1">
        <f t="shared" si="4"/>
        <v>0</v>
      </c>
      <c r="L49" s="1">
        <f t="shared" si="5"/>
        <v>0</v>
      </c>
      <c r="M49" s="32">
        <f>VLOOKUP(A49,'EBA2017'!A:N,10,FALSE)</f>
        <v>4</v>
      </c>
      <c r="N49" s="1">
        <f>VLOOKUP(A49,'EBA2017'!A:N,11,FALSE)</f>
        <v>3.5</v>
      </c>
      <c r="O49" s="1">
        <f>VLOOKUP(A49,'EBA2017'!A:N,12,FALSE)</f>
        <v>0</v>
      </c>
      <c r="P49" s="32">
        <f>IF(M49="No Data","No Data",M49/(10-IF(M49&lt;10,VLOOKUP($A49,'Data Gaps'!$A:$N,3,FALSE),0)))</f>
        <v>0.4</v>
      </c>
      <c r="Q49" s="1">
        <f>IF(N49="No Data","No Data",N49/(8-IF(N49&lt;8,VLOOKUP($A49,'Data Gaps'!$A:$N,4,FALSE),0)))</f>
        <v>0.4375</v>
      </c>
      <c r="R49" s="1">
        <f>IF(O49="No Data","No Data",O49/(12-IF(O49&lt;12,VLOOKUP($A49,'Data Gaps'!$A:$N,5,FALSE),0)))</f>
        <v>0</v>
      </c>
      <c r="S49" s="32">
        <f t="shared" si="3"/>
        <v>20.9375</v>
      </c>
    </row>
    <row r="50" spans="1:19" x14ac:dyDescent="0.35">
      <c r="A50" s="1" t="s">
        <v>122</v>
      </c>
      <c r="B50" s="28" t="s">
        <v>123</v>
      </c>
      <c r="C50" s="1" t="s">
        <v>12</v>
      </c>
      <c r="D50" s="1" t="s">
        <v>13</v>
      </c>
      <c r="E50" s="29" t="s">
        <v>9</v>
      </c>
      <c r="F50" s="28" t="s">
        <v>160</v>
      </c>
      <c r="G50" s="28" t="str">
        <f>VLOOKUP($A50,'EBA2017'!$A:$G,7,FALSE)</f>
        <v>Two</v>
      </c>
      <c r="H50" s="32">
        <f>VLOOKUP($A50,'EBA2017'!$A:$N,13,FALSE)</f>
        <v>298</v>
      </c>
      <c r="I50" s="1">
        <f t="shared" si="2"/>
        <v>0.75991269552564555</v>
      </c>
      <c r="J50" s="1">
        <f>VLOOKUP($A50,'EBA2017'!$A:$N,14,FALSE)</f>
        <v>0</v>
      </c>
      <c r="K50" s="1">
        <f t="shared" si="4"/>
        <v>1</v>
      </c>
      <c r="L50" s="1">
        <f t="shared" si="5"/>
        <v>0.87995634776282272</v>
      </c>
      <c r="M50" s="32">
        <f>VLOOKUP(A50,'EBA2017'!A:N,10,FALSE)</f>
        <v>4</v>
      </c>
      <c r="N50" s="1">
        <f>VLOOKUP(A50,'EBA2017'!A:N,11,FALSE)</f>
        <v>3.5</v>
      </c>
      <c r="O50" s="1">
        <f>VLOOKUP(A50,'EBA2017'!A:N,12,FALSE)</f>
        <v>2</v>
      </c>
      <c r="P50" s="32">
        <f>IF(M50="No Data","No Data",M50/(10-IF(M50&lt;10,VLOOKUP($A50,'Data Gaps'!$A:$N,3,FALSE),0)))</f>
        <v>0.4</v>
      </c>
      <c r="Q50" s="1">
        <f>IF(N50="No Data","No Data",N50/(8-IF(N50&lt;8,VLOOKUP($A50,'Data Gaps'!$A:$N,4,FALSE),0)))</f>
        <v>0.4375</v>
      </c>
      <c r="R50" s="1">
        <f>IF(O50="No Data","No Data",O50/(12-IF(O50&lt;12,VLOOKUP($A50,'Data Gaps'!$A:$N,5,FALSE),0)))</f>
        <v>0.16666666666666666</v>
      </c>
      <c r="S50" s="32">
        <f t="shared" si="3"/>
        <v>47.103075360737243</v>
      </c>
    </row>
    <row r="51" spans="1:19" x14ac:dyDescent="0.35">
      <c r="A51" s="1" t="s">
        <v>88</v>
      </c>
      <c r="B51" s="28" t="s">
        <v>89</v>
      </c>
      <c r="C51" s="1" t="s">
        <v>49</v>
      </c>
      <c r="D51" s="1" t="s">
        <v>50</v>
      </c>
      <c r="E51" s="28" t="s">
        <v>9</v>
      </c>
      <c r="F51" s="28" t="s">
        <v>161</v>
      </c>
      <c r="G51" s="28" t="str">
        <f>VLOOKUP($A51,'EBA2017'!$A:$G,7,FALSE)</f>
        <v>Two</v>
      </c>
      <c r="H51" s="32">
        <f>VLOOKUP($A51,'EBA2017'!$A:$N,13,FALSE)</f>
        <v>584</v>
      </c>
      <c r="I51" s="1">
        <f t="shared" si="2"/>
        <v>0.23972353583121098</v>
      </c>
      <c r="J51" s="1">
        <f>VLOOKUP($A51,'EBA2017'!$A:$N,14,FALSE)</f>
        <v>18.132427180903157</v>
      </c>
      <c r="K51" s="1">
        <f t="shared" si="4"/>
        <v>0.98130126458057787</v>
      </c>
      <c r="L51" s="1">
        <f t="shared" si="5"/>
        <v>0.61051240020589437</v>
      </c>
      <c r="M51" s="32">
        <f>VLOOKUP(A51,'EBA2017'!A:N,10,FALSE)</f>
        <v>10</v>
      </c>
      <c r="N51" s="1">
        <f>VLOOKUP(A51,'EBA2017'!A:N,11,FALSE)</f>
        <v>4.5</v>
      </c>
      <c r="O51" s="1">
        <f>VLOOKUP(A51,'EBA2017'!A:N,12,FALSE)</f>
        <v>6.5</v>
      </c>
      <c r="P51" s="32">
        <f>IF(M51="No Data","No Data",M51/(10-IF(M51&lt;10,VLOOKUP($A51,'Data Gaps'!$A:$N,3,FALSE),0)))</f>
        <v>1</v>
      </c>
      <c r="Q51" s="1">
        <f>IF(N51="No Data","No Data",N51/(8-IF(N51&lt;8,VLOOKUP($A51,'Data Gaps'!$A:$N,4,FALSE),0)))</f>
        <v>0.5625</v>
      </c>
      <c r="R51" s="1">
        <f>IF(O51="No Data","No Data",O51/(12-IF(O51&lt;12,VLOOKUP($A51,'Data Gaps'!$A:$N,5,FALSE),0)))</f>
        <v>0.54166666666666663</v>
      </c>
      <c r="S51" s="32">
        <f t="shared" si="3"/>
        <v>67.866976671814015</v>
      </c>
    </row>
    <row r="52" spans="1:19" x14ac:dyDescent="0.35">
      <c r="A52" s="1" t="s">
        <v>86</v>
      </c>
      <c r="B52" s="28" t="s">
        <v>87</v>
      </c>
      <c r="C52" s="1" t="s">
        <v>21</v>
      </c>
      <c r="D52" s="1" t="s">
        <v>22</v>
      </c>
      <c r="E52" s="28" t="s">
        <v>25</v>
      </c>
      <c r="F52" s="28" t="s">
        <v>161</v>
      </c>
      <c r="G52" s="28" t="str">
        <f>VLOOKUP($A52,'EBA2017'!$A:$G,7,FALSE)</f>
        <v>Two</v>
      </c>
      <c r="H52" s="32">
        <f>VLOOKUP($A52,'EBA2017'!$A:$N,13,FALSE)</f>
        <v>621</v>
      </c>
      <c r="I52" s="1">
        <f t="shared" si="2"/>
        <v>0.17242633684976313</v>
      </c>
      <c r="J52" s="1">
        <f>VLOOKUP($A52,'EBA2017'!$A:$N,14,FALSE)</f>
        <v>16.160026166289668</v>
      </c>
      <c r="K52" s="1">
        <f t="shared" si="4"/>
        <v>0.98333526721824471</v>
      </c>
      <c r="L52" s="1">
        <f t="shared" si="5"/>
        <v>0.57788080203400394</v>
      </c>
      <c r="M52" s="32">
        <f>VLOOKUP(A52,'EBA2017'!A:N,10,FALSE)</f>
        <v>8</v>
      </c>
      <c r="N52" s="1">
        <f>VLOOKUP(A52,'EBA2017'!A:N,11,FALSE)</f>
        <v>5</v>
      </c>
      <c r="O52" s="1">
        <f>VLOOKUP(A52,'EBA2017'!A:N,12,FALSE)</f>
        <v>7</v>
      </c>
      <c r="P52" s="32">
        <f>IF(M52="No Data","No Data",M52/(10-IF(M52&lt;10,VLOOKUP($A52,'Data Gaps'!$A:$N,3,FALSE),0)))</f>
        <v>0.8</v>
      </c>
      <c r="Q52" s="1">
        <f>IF(N52="No Data","No Data",N52/(8-IF(N52&lt;8,VLOOKUP($A52,'Data Gaps'!$A:$N,4,FALSE),0)))</f>
        <v>0.625</v>
      </c>
      <c r="R52" s="1">
        <f>IF(O52="No Data","No Data",O52/(12-IF(O52&lt;12,VLOOKUP($A52,'Data Gaps'!$A:$N,5,FALSE),0)))</f>
        <v>0.58333333333333337</v>
      </c>
      <c r="S52" s="32">
        <f t="shared" si="3"/>
        <v>64.655353384183428</v>
      </c>
    </row>
    <row r="53" spans="1:19" x14ac:dyDescent="0.35">
      <c r="A53" s="1" t="s">
        <v>92</v>
      </c>
      <c r="B53" s="28" t="s">
        <v>93</v>
      </c>
      <c r="C53" s="1" t="s">
        <v>32</v>
      </c>
      <c r="D53" s="1" t="s">
        <v>33</v>
      </c>
      <c r="E53" s="28" t="s">
        <v>9</v>
      </c>
      <c r="F53" s="28" t="s">
        <v>161</v>
      </c>
      <c r="G53" s="28" t="str">
        <f>VLOOKUP($A53,'EBA2017'!$A:$G,7,FALSE)</f>
        <v>Two</v>
      </c>
      <c r="H53" s="32">
        <f>VLOOKUP($A53,'EBA2017'!$A:$N,13,FALSE)</f>
        <v>306</v>
      </c>
      <c r="I53" s="1">
        <f t="shared" si="2"/>
        <v>0.74536194979992709</v>
      </c>
      <c r="J53" s="1">
        <f>VLOOKUP($A53,'EBA2017'!$A:$N,14,FALSE)</f>
        <v>26.603349048226509</v>
      </c>
      <c r="K53" s="1">
        <f t="shared" si="4"/>
        <v>0.97256578062272714</v>
      </c>
      <c r="L53" s="1">
        <f t="shared" si="5"/>
        <v>0.85896386521132717</v>
      </c>
      <c r="M53" s="32">
        <f>VLOOKUP(A53,'EBA2017'!A:N,10,FALSE)</f>
        <v>7</v>
      </c>
      <c r="N53" s="1">
        <f>VLOOKUP(A53,'EBA2017'!A:N,11,FALSE)</f>
        <v>3</v>
      </c>
      <c r="O53" s="1">
        <f>VLOOKUP(A53,'EBA2017'!A:N,12,FALSE)</f>
        <v>3</v>
      </c>
      <c r="P53" s="32">
        <f>IF(M53="No Data","No Data",M53/(10-IF(M53&lt;10,VLOOKUP($A53,'Data Gaps'!$A:$N,3,FALSE),0)))</f>
        <v>0.7</v>
      </c>
      <c r="Q53" s="1">
        <f>IF(N53="No Data","No Data",N53/(8-IF(N53&lt;8,VLOOKUP($A53,'Data Gaps'!$A:$N,4,FALSE),0)))</f>
        <v>0.375</v>
      </c>
      <c r="R53" s="1">
        <f>IF(O53="No Data","No Data",O53/(12-IF(O53&lt;12,VLOOKUP($A53,'Data Gaps'!$A:$N,5,FALSE),0)))</f>
        <v>0.25</v>
      </c>
      <c r="S53" s="32">
        <f t="shared" si="3"/>
        <v>54.599096630283171</v>
      </c>
    </row>
    <row r="54" spans="1:19" x14ac:dyDescent="0.35">
      <c r="A54" s="1" t="s">
        <v>90</v>
      </c>
      <c r="B54" s="28" t="s">
        <v>91</v>
      </c>
      <c r="C54" s="1" t="s">
        <v>16</v>
      </c>
      <c r="D54" s="1" t="s">
        <v>17</v>
      </c>
      <c r="E54" s="28" t="s">
        <v>18</v>
      </c>
      <c r="F54" s="28" t="s">
        <v>159</v>
      </c>
      <c r="G54" s="28" t="str">
        <f>VLOOKUP($A54,'EBA2017'!$A:$G,7,FALSE)</f>
        <v>Two</v>
      </c>
      <c r="H54" s="32">
        <f>VLOOKUP($A54,'EBA2017'!$A:$N,13,FALSE)</f>
        <v>582</v>
      </c>
      <c r="I54" s="1">
        <f t="shared" si="2"/>
        <v>0.24336122226264059</v>
      </c>
      <c r="J54" s="1">
        <f>VLOOKUP($A54,'EBA2017'!$A:$N,14,FALSE)</f>
        <v>86.206896551724128</v>
      </c>
      <c r="K54" s="1">
        <f t="shared" si="4"/>
        <v>0.91110070737535487</v>
      </c>
      <c r="L54" s="1">
        <f t="shared" si="5"/>
        <v>0.57723096481899772</v>
      </c>
      <c r="M54" s="32">
        <f>VLOOKUP(A54,'EBA2017'!A:N,10,FALSE)</f>
        <v>8</v>
      </c>
      <c r="N54" s="1">
        <f>VLOOKUP(A54,'EBA2017'!A:N,11,FALSE)</f>
        <v>6</v>
      </c>
      <c r="O54" s="1">
        <f>VLOOKUP(A54,'EBA2017'!A:N,12,FALSE)</f>
        <v>6</v>
      </c>
      <c r="P54" s="32">
        <f>IF(M54="No Data","No Data",M54/(10-IF(M54&lt;10,VLOOKUP($A54,'Data Gaps'!$A:$N,3,FALSE),0)))</f>
        <v>0.8</v>
      </c>
      <c r="Q54" s="1">
        <f>IF(N54="No Data","No Data",N54/(8-IF(N54&lt;8,VLOOKUP($A54,'Data Gaps'!$A:$N,4,FALSE),0)))</f>
        <v>0.75</v>
      </c>
      <c r="R54" s="1">
        <f>IF(O54="No Data","No Data",O54/(12-IF(O54&lt;12,VLOOKUP($A54,'Data Gaps'!$A:$N,5,FALSE),0)))</f>
        <v>0.5</v>
      </c>
      <c r="S54" s="32">
        <f t="shared" si="3"/>
        <v>65.68077412047495</v>
      </c>
    </row>
    <row r="55" spans="1:19" x14ac:dyDescent="0.35">
      <c r="A55" s="1" t="s">
        <v>80</v>
      </c>
      <c r="B55" s="28" t="s">
        <v>81</v>
      </c>
      <c r="C55" s="1" t="s">
        <v>16</v>
      </c>
      <c r="D55" s="1" t="s">
        <v>17</v>
      </c>
      <c r="E55" s="28" t="s">
        <v>18</v>
      </c>
      <c r="F55" s="28" t="s">
        <v>160</v>
      </c>
      <c r="G55" s="28" t="str">
        <f>VLOOKUP($A55,'EBA2017'!$A:$G,7,FALSE)</f>
        <v>Two</v>
      </c>
      <c r="H55" s="32">
        <f>VLOOKUP($A55,'EBA2017'!$A:$N,13,FALSE)</f>
        <v>579</v>
      </c>
      <c r="I55" s="1">
        <f t="shared" si="2"/>
        <v>0.248817751909785</v>
      </c>
      <c r="J55" s="1">
        <f>VLOOKUP($A55,'EBA2017'!$A:$N,14,FALSE)</f>
        <v>2038.1309297703353</v>
      </c>
      <c r="K55" s="1">
        <f t="shared" si="4"/>
        <v>0</v>
      </c>
      <c r="L55" s="1">
        <f t="shared" si="5"/>
        <v>0.1244088759548925</v>
      </c>
      <c r="M55" s="32">
        <f>VLOOKUP(A55,'EBA2017'!A:N,10,FALSE)</f>
        <v>5</v>
      </c>
      <c r="N55" s="1">
        <f>VLOOKUP(A55,'EBA2017'!A:N,11,FALSE)</f>
        <v>5.5</v>
      </c>
      <c r="O55" s="1">
        <f>VLOOKUP(A55,'EBA2017'!A:N,12,FALSE)</f>
        <v>6</v>
      </c>
      <c r="P55" s="32">
        <f>IF(M55="No Data","No Data",M55/(10-IF(M55&lt;10,VLOOKUP($A55,'Data Gaps'!$A:$N,3,FALSE),0)))</f>
        <v>0.5</v>
      </c>
      <c r="Q55" s="1">
        <f>IF(N55="No Data","No Data",N55/(8-IF(N55&lt;8,VLOOKUP($A55,'Data Gaps'!$A:$N,4,FALSE),0)))</f>
        <v>0.6875</v>
      </c>
      <c r="R55" s="1">
        <f>IF(O55="No Data","No Data",O55/(12-IF(O55&lt;12,VLOOKUP($A55,'Data Gaps'!$A:$N,5,FALSE),0)))</f>
        <v>0.5</v>
      </c>
      <c r="S55" s="32">
        <f t="shared" si="3"/>
        <v>45.297721898872311</v>
      </c>
    </row>
    <row r="56" spans="1:19" x14ac:dyDescent="0.35">
      <c r="A56" s="1" t="s">
        <v>82</v>
      </c>
      <c r="B56" s="28" t="s">
        <v>83</v>
      </c>
      <c r="C56" s="1" t="s">
        <v>32</v>
      </c>
      <c r="D56" s="1" t="s">
        <v>33</v>
      </c>
      <c r="E56" s="28" t="s">
        <v>25</v>
      </c>
      <c r="F56" s="28" t="s">
        <v>161</v>
      </c>
      <c r="G56" s="28" t="str">
        <f>VLOOKUP($A56,'EBA2017'!$A:$G,7,FALSE)</f>
        <v>Two</v>
      </c>
      <c r="H56" s="32">
        <f>VLOOKUP($A56,'EBA2017'!$A:$N,13,FALSE)</f>
        <v>561</v>
      </c>
      <c r="I56" s="1">
        <f t="shared" si="2"/>
        <v>0.28155692979265151</v>
      </c>
      <c r="J56" s="1">
        <f>VLOOKUP($A56,'EBA2017'!$A:$N,14,FALSE)</f>
        <v>7.0133767243648091</v>
      </c>
      <c r="K56" s="1">
        <f t="shared" si="4"/>
        <v>0.99276758293540834</v>
      </c>
      <c r="L56" s="1">
        <f t="shared" si="5"/>
        <v>0.6371622563640299</v>
      </c>
      <c r="M56" s="32">
        <f>VLOOKUP(A56,'EBA2017'!A:N,10,FALSE)</f>
        <v>9</v>
      </c>
      <c r="N56" s="1">
        <f>VLOOKUP(A56,'EBA2017'!A:N,11,FALSE)</f>
        <v>3</v>
      </c>
      <c r="O56" s="1">
        <f>VLOOKUP(A56,'EBA2017'!A:N,12,FALSE)</f>
        <v>0</v>
      </c>
      <c r="P56" s="32">
        <f>IF(M56="No Data","No Data",M56/(10-IF(M56&lt;10,VLOOKUP($A56,'Data Gaps'!$A:$N,3,FALSE),0)))</f>
        <v>0.9</v>
      </c>
      <c r="Q56" s="1">
        <f>IF(N56="No Data","No Data",N56/(8-IF(N56&lt;8,VLOOKUP($A56,'Data Gaps'!$A:$N,4,FALSE),0)))</f>
        <v>0.375</v>
      </c>
      <c r="R56" s="1">
        <f>IF(O56="No Data","No Data",O56/(12-IF(O56&lt;12,VLOOKUP($A56,'Data Gaps'!$A:$N,5,FALSE),0)))</f>
        <v>0</v>
      </c>
      <c r="S56" s="32">
        <f t="shared" si="3"/>
        <v>47.804056409100745</v>
      </c>
    </row>
    <row r="57" spans="1:19" x14ac:dyDescent="0.35">
      <c r="A57" s="1" t="s">
        <v>100</v>
      </c>
      <c r="B57" s="28" t="s">
        <v>101</v>
      </c>
      <c r="C57" s="1" t="s">
        <v>16</v>
      </c>
      <c r="D57" s="1" t="s">
        <v>17</v>
      </c>
      <c r="E57" s="28" t="s">
        <v>18</v>
      </c>
      <c r="F57" s="28" t="s">
        <v>161</v>
      </c>
      <c r="G57" s="28" t="str">
        <f>VLOOKUP($A57,'EBA2017'!$A:$G,7,FALSE)</f>
        <v>Two</v>
      </c>
      <c r="H57" s="32" t="str">
        <f>VLOOKUP($A57,'EBA2017'!$A:$N,13,FALSE)</f>
        <v>No practice</v>
      </c>
      <c r="I57" s="1">
        <f t="shared" si="2"/>
        <v>0</v>
      </c>
      <c r="J57" s="1" t="str">
        <f>VLOOKUP($A57,'EBA2017'!$A:$N,14,FALSE)</f>
        <v>No practice</v>
      </c>
      <c r="K57" s="1">
        <f t="shared" si="4"/>
        <v>0</v>
      </c>
      <c r="L57" s="1">
        <f t="shared" si="5"/>
        <v>0</v>
      </c>
      <c r="M57" s="32">
        <f>VLOOKUP(A57,'EBA2017'!A:N,10,FALSE)</f>
        <v>4</v>
      </c>
      <c r="N57" s="1">
        <f>VLOOKUP(A57,'EBA2017'!A:N,11,FALSE)</f>
        <v>8</v>
      </c>
      <c r="O57" s="1">
        <f>VLOOKUP(A57,'EBA2017'!A:N,12,FALSE)</f>
        <v>5</v>
      </c>
      <c r="P57" s="32">
        <f>IF(M57="No Data","No Data",M57/(10-IF(M57&lt;10,VLOOKUP($A57,'Data Gaps'!$A:$N,3,FALSE),0)))</f>
        <v>0.4</v>
      </c>
      <c r="Q57" s="1">
        <f>IF(N57="No Data","No Data",N57/(8-IF(N57&lt;8,VLOOKUP($A57,'Data Gaps'!$A:$N,4,FALSE),0)))</f>
        <v>1</v>
      </c>
      <c r="R57" s="1">
        <f>IF(O57="No Data","No Data",O57/(12-IF(O57&lt;12,VLOOKUP($A57,'Data Gaps'!$A:$N,5,FALSE),0)))</f>
        <v>0.41666666666666669</v>
      </c>
      <c r="S57" s="32">
        <f t="shared" si="3"/>
        <v>45.416666666666664</v>
      </c>
    </row>
    <row r="58" spans="1:19" x14ac:dyDescent="0.35">
      <c r="A58" s="1" t="s">
        <v>102</v>
      </c>
      <c r="B58" s="28" t="s">
        <v>103</v>
      </c>
      <c r="C58" s="1" t="s">
        <v>16</v>
      </c>
      <c r="D58" s="1" t="s">
        <v>17</v>
      </c>
      <c r="E58" s="29" t="s">
        <v>9</v>
      </c>
      <c r="F58" s="28" t="s">
        <v>160</v>
      </c>
      <c r="G58" s="28" t="str">
        <f>VLOOKUP($A58,'EBA2017'!$A:$G,7,FALSE)</f>
        <v>Two</v>
      </c>
      <c r="H58" s="32">
        <f>VLOOKUP($A58,'EBA2017'!$A:$N,13,FALSE)</f>
        <v>367</v>
      </c>
      <c r="I58" s="1">
        <f t="shared" si="2"/>
        <v>0.63441251364132389</v>
      </c>
      <c r="J58" s="1">
        <f>VLOOKUP($A58,'EBA2017'!$A:$N,14,FALSE)</f>
        <v>197.92738514189782</v>
      </c>
      <c r="K58" s="1">
        <f t="shared" si="4"/>
        <v>0.79589098745013909</v>
      </c>
      <c r="L58" s="1">
        <f t="shared" si="5"/>
        <v>0.71515175054573143</v>
      </c>
      <c r="M58" s="32">
        <f>VLOOKUP(A58,'EBA2017'!A:N,10,FALSE)</f>
        <v>3</v>
      </c>
      <c r="N58" s="1">
        <f>VLOOKUP(A58,'EBA2017'!A:N,11,FALSE)</f>
        <v>5.5</v>
      </c>
      <c r="O58" s="1">
        <f>VLOOKUP(A58,'EBA2017'!A:N,12,FALSE)</f>
        <v>3</v>
      </c>
      <c r="P58" s="32">
        <f>IF(M58="No Data","No Data",M58/(10-IF(M58&lt;10,VLOOKUP($A58,'Data Gaps'!$A:$N,3,FALSE),0)))</f>
        <v>0.3</v>
      </c>
      <c r="Q58" s="1">
        <f>IF(N58="No Data","No Data",N58/(8-IF(N58&lt;8,VLOOKUP($A58,'Data Gaps'!$A:$N,4,FALSE),0)))</f>
        <v>0.6875</v>
      </c>
      <c r="R58" s="1">
        <f>IF(O58="No Data","No Data",O58/(12-IF(O58&lt;12,VLOOKUP($A58,'Data Gaps'!$A:$N,5,FALSE),0)))</f>
        <v>0.25</v>
      </c>
      <c r="S58" s="32">
        <f t="shared" si="3"/>
        <v>48.816293763643287</v>
      </c>
    </row>
    <row r="59" spans="1:19" x14ac:dyDescent="0.35">
      <c r="A59" s="1" t="s">
        <v>98</v>
      </c>
      <c r="B59" s="28" t="s">
        <v>99</v>
      </c>
      <c r="C59" s="1" t="s">
        <v>21</v>
      </c>
      <c r="D59" s="1" t="s">
        <v>22</v>
      </c>
      <c r="E59" s="28" t="s">
        <v>9</v>
      </c>
      <c r="F59" s="28" t="s">
        <v>160</v>
      </c>
      <c r="G59" s="28" t="str">
        <f>VLOOKUP($A59,'EBA2017'!$A:$G,7,FALSE)</f>
        <v>Two</v>
      </c>
      <c r="H59" s="32">
        <f>VLOOKUP($A59,'EBA2017'!$A:$N,13,FALSE)</f>
        <v>650</v>
      </c>
      <c r="I59" s="1">
        <f t="shared" si="2"/>
        <v>0.11967988359403375</v>
      </c>
      <c r="J59" s="1">
        <f>VLOOKUP($A59,'EBA2017'!$A:$N,14,FALSE)</f>
        <v>786.85567010309273</v>
      </c>
      <c r="K59" s="1">
        <f t="shared" si="4"/>
        <v>0.18856941534966909</v>
      </c>
      <c r="L59" s="1">
        <f t="shared" si="5"/>
        <v>0.15412464947185142</v>
      </c>
      <c r="M59" s="32">
        <f>VLOOKUP(A59,'EBA2017'!A:N,10,FALSE)</f>
        <v>7</v>
      </c>
      <c r="N59" s="1">
        <f>VLOOKUP(A59,'EBA2017'!A:N,11,FALSE)</f>
        <v>6.5</v>
      </c>
      <c r="O59" s="1">
        <f>VLOOKUP(A59,'EBA2017'!A:N,12,FALSE)</f>
        <v>3</v>
      </c>
      <c r="P59" s="32">
        <f>IF(M59="No Data","No Data",M59/(10-IF(M59&lt;10,VLOOKUP($A59,'Data Gaps'!$A:$N,3,FALSE),0)))</f>
        <v>0.7</v>
      </c>
      <c r="Q59" s="1">
        <f>IF(N59="No Data","No Data",N59/(8-IF(N59&lt;8,VLOOKUP($A59,'Data Gaps'!$A:$N,4,FALSE),0)))</f>
        <v>0.8125</v>
      </c>
      <c r="R59" s="1">
        <f>IF(O59="No Data","No Data",O59/(12-IF(O59&lt;12,VLOOKUP($A59,'Data Gaps'!$A:$N,5,FALSE),0)))</f>
        <v>0.25</v>
      </c>
      <c r="S59" s="32">
        <f t="shared" si="3"/>
        <v>47.915616236796289</v>
      </c>
    </row>
    <row r="60" spans="1:19" x14ac:dyDescent="0.35">
      <c r="A60" s="1" t="s">
        <v>106</v>
      </c>
      <c r="B60" s="28" t="s">
        <v>107</v>
      </c>
      <c r="C60" s="1" t="s">
        <v>32</v>
      </c>
      <c r="D60" s="1" t="s">
        <v>33</v>
      </c>
      <c r="E60" s="29" t="s">
        <v>9</v>
      </c>
      <c r="F60" s="28" t="s">
        <v>159</v>
      </c>
      <c r="G60" s="28" t="str">
        <f>VLOOKUP($A60,'EBA2017'!$A:$G,7,FALSE)</f>
        <v>Two</v>
      </c>
      <c r="H60" s="32">
        <f>VLOOKUP($A60,'EBA2017'!$A:$N,13,FALSE)</f>
        <v>570</v>
      </c>
      <c r="I60" s="1">
        <f t="shared" si="2"/>
        <v>0.26518734085121826</v>
      </c>
      <c r="J60" s="1">
        <f>VLOOKUP($A60,'EBA2017'!$A:$N,14,FALSE)</f>
        <v>1.5066700924021341</v>
      </c>
      <c r="K60" s="1">
        <f t="shared" si="4"/>
        <v>0.99844627389697416</v>
      </c>
      <c r="L60" s="1">
        <f t="shared" si="5"/>
        <v>0.63181680737409618</v>
      </c>
      <c r="M60" s="32">
        <f>VLOOKUP(A60,'EBA2017'!A:N,10,FALSE)</f>
        <v>10</v>
      </c>
      <c r="N60" s="1">
        <f>VLOOKUP(A60,'EBA2017'!A:N,11,FALSE)</f>
        <v>6.5</v>
      </c>
      <c r="O60" s="1">
        <f>VLOOKUP(A60,'EBA2017'!A:N,12,FALSE)</f>
        <v>5.25</v>
      </c>
      <c r="P60" s="32">
        <f>IF(M60="No Data","No Data",M60/(10-IF(M60&lt;10,VLOOKUP($A60,'Data Gaps'!$A:$N,3,FALSE),0)))</f>
        <v>1</v>
      </c>
      <c r="Q60" s="1">
        <f>IF(N60="No Data","No Data",N60/(8-IF(N60&lt;8,VLOOKUP($A60,'Data Gaps'!$A:$N,4,FALSE),0)))</f>
        <v>0.8125</v>
      </c>
      <c r="R60" s="1">
        <f>IF(O60="No Data","No Data",O60/(12-IF(O60&lt;12,VLOOKUP($A60,'Data Gaps'!$A:$N,5,FALSE),0)))</f>
        <v>0.44680851063829785</v>
      </c>
      <c r="S60" s="32">
        <f t="shared" si="3"/>
        <v>72.278132950309853</v>
      </c>
    </row>
    <row r="61" spans="1:19" x14ac:dyDescent="0.35">
      <c r="A61" s="1" t="s">
        <v>124</v>
      </c>
      <c r="B61" s="28" t="s">
        <v>125</v>
      </c>
      <c r="C61" s="1" t="s">
        <v>16</v>
      </c>
      <c r="D61" s="1" t="s">
        <v>17</v>
      </c>
      <c r="E61" s="29" t="s">
        <v>9</v>
      </c>
      <c r="F61" s="28" t="s">
        <v>160</v>
      </c>
      <c r="G61" s="28" t="str">
        <f>VLOOKUP($A61,'EBA2017'!$A:$G,7,FALSE)</f>
        <v>Two</v>
      </c>
      <c r="H61" s="32">
        <f>VLOOKUP($A61,'EBA2017'!$A:$N,13,FALSE)</f>
        <v>654</v>
      </c>
      <c r="I61" s="1">
        <f t="shared" si="2"/>
        <v>0.11240451073117454</v>
      </c>
      <c r="J61" s="1">
        <f>VLOOKUP($A61,'EBA2017'!$A:$N,14,FALSE)</f>
        <v>620.66555118923702</v>
      </c>
      <c r="K61" s="1">
        <f t="shared" si="4"/>
        <v>0.35994994989637941</v>
      </c>
      <c r="L61" s="1">
        <f t="shared" si="5"/>
        <v>0.23617723031377696</v>
      </c>
      <c r="M61" s="32">
        <f>VLOOKUP(A61,'EBA2017'!A:N,10,FALSE)</f>
        <v>8</v>
      </c>
      <c r="N61" s="1">
        <f>VLOOKUP(A61,'EBA2017'!A:N,11,FALSE)</f>
        <v>4.5</v>
      </c>
      <c r="O61" s="1">
        <f>VLOOKUP(A61,'EBA2017'!A:N,12,FALSE)</f>
        <v>4.5</v>
      </c>
      <c r="P61" s="32">
        <f>IF(M61="No Data","No Data",M61/(10-IF(M61&lt;10,VLOOKUP($A61,'Data Gaps'!$A:$N,3,FALSE),0)))</f>
        <v>0.8</v>
      </c>
      <c r="Q61" s="1">
        <f>IF(N61="No Data","No Data",N61/(8-IF(N61&lt;8,VLOOKUP($A61,'Data Gaps'!$A:$N,4,FALSE),0)))</f>
        <v>0.5625</v>
      </c>
      <c r="R61" s="1">
        <f>IF(O61="No Data","No Data",O61/(12-IF(O61&lt;12,VLOOKUP($A61,'Data Gaps'!$A:$N,5,FALSE),0)))</f>
        <v>0.375</v>
      </c>
      <c r="S61" s="32">
        <f t="shared" si="3"/>
        <v>49.341930757844423</v>
      </c>
    </row>
    <row r="62" spans="1:19" x14ac:dyDescent="0.35">
      <c r="A62" s="1" t="s">
        <v>130</v>
      </c>
      <c r="B62" s="28" t="s">
        <v>131</v>
      </c>
      <c r="C62" s="1" t="s">
        <v>32</v>
      </c>
      <c r="D62" s="1" t="s">
        <v>33</v>
      </c>
      <c r="E62" s="29" t="s">
        <v>25</v>
      </c>
      <c r="F62" s="28" t="s">
        <v>161</v>
      </c>
      <c r="G62" s="28" t="str">
        <f>VLOOKUP($A62,'EBA2017'!$A:$G,7,FALSE)</f>
        <v>Two</v>
      </c>
      <c r="H62" s="32">
        <f>VLOOKUP($A62,'EBA2017'!$A:$N,13,FALSE)</f>
        <v>327</v>
      </c>
      <c r="I62" s="1">
        <f t="shared" si="2"/>
        <v>0.7071662422699162</v>
      </c>
      <c r="J62" s="1">
        <f>VLOOKUP($A62,'EBA2017'!$A:$N,14,FALSE)</f>
        <v>7.2903383858726007</v>
      </c>
      <c r="K62" s="1">
        <f t="shared" si="4"/>
        <v>0.99248197126421889</v>
      </c>
      <c r="L62" s="1">
        <f t="shared" si="5"/>
        <v>0.84982410676706754</v>
      </c>
      <c r="M62" s="32">
        <f>VLOOKUP(A62,'EBA2017'!A:N,10,FALSE)</f>
        <v>8</v>
      </c>
      <c r="N62" s="1">
        <f>VLOOKUP(A62,'EBA2017'!A:N,11,FALSE)</f>
        <v>3</v>
      </c>
      <c r="O62" s="1">
        <f>VLOOKUP(A62,'EBA2017'!A:N,12,FALSE)</f>
        <v>3</v>
      </c>
      <c r="P62" s="32">
        <f>IF(M62="No Data","No Data",M62/(10-IF(M62&lt;10,VLOOKUP($A62,'Data Gaps'!$A:$N,3,FALSE),0)))</f>
        <v>0.8</v>
      </c>
      <c r="Q62" s="1">
        <f>IF(N62="No Data","No Data",N62/(8-IF(N62&lt;8,VLOOKUP($A62,'Data Gaps'!$A:$N,4,FALSE),0)))</f>
        <v>0.375</v>
      </c>
      <c r="R62" s="1">
        <f>IF(O62="No Data","No Data",O62/(12-IF(O62&lt;12,VLOOKUP($A62,'Data Gaps'!$A:$N,5,FALSE),0)))</f>
        <v>0.25</v>
      </c>
      <c r="S62" s="32">
        <f t="shared" si="3"/>
        <v>56.870602669176698</v>
      </c>
    </row>
    <row r="63" spans="1:19" x14ac:dyDescent="0.35">
      <c r="A63" s="1" t="s">
        <v>128</v>
      </c>
      <c r="B63" s="28" t="s">
        <v>129</v>
      </c>
      <c r="C63" s="1" t="s">
        <v>16</v>
      </c>
      <c r="D63" s="1" t="s">
        <v>17</v>
      </c>
      <c r="E63" s="29" t="s">
        <v>18</v>
      </c>
      <c r="F63" s="28" t="s">
        <v>159</v>
      </c>
      <c r="G63" s="28" t="str">
        <f>VLOOKUP($A63,'EBA2017'!$A:$G,7,FALSE)</f>
        <v>Two</v>
      </c>
      <c r="H63" s="32">
        <f>VLOOKUP($A63,'EBA2017'!$A:$N,13,FALSE)</f>
        <v>333</v>
      </c>
      <c r="I63" s="1">
        <f t="shared" si="2"/>
        <v>0.69625318297562733</v>
      </c>
      <c r="J63" s="1">
        <f>VLOOKUP($A63,'EBA2017'!$A:$N,14,FALSE)</f>
        <v>65.108755387015222</v>
      </c>
      <c r="K63" s="1">
        <f t="shared" si="4"/>
        <v>0.93285778134811015</v>
      </c>
      <c r="L63" s="1">
        <f t="shared" si="5"/>
        <v>0.81455548216186879</v>
      </c>
      <c r="M63" s="32">
        <f>VLOOKUP(A63,'EBA2017'!A:N,10,FALSE)</f>
        <v>9</v>
      </c>
      <c r="N63" s="1">
        <f>VLOOKUP(A63,'EBA2017'!A:N,11,FALSE)</f>
        <v>4</v>
      </c>
      <c r="O63" s="1">
        <f>VLOOKUP(A63,'EBA2017'!A:N,12,FALSE)</f>
        <v>6.5</v>
      </c>
      <c r="P63" s="32">
        <f>IF(M63="No Data","No Data",M63/(10-IF(M63&lt;10,VLOOKUP($A63,'Data Gaps'!$A:$N,3,FALSE),0)))</f>
        <v>0.9</v>
      </c>
      <c r="Q63" s="1">
        <f>IF(N63="No Data","No Data",N63/(8-IF(N63&lt;8,VLOOKUP($A63,'Data Gaps'!$A:$N,4,FALSE),0)))</f>
        <v>0.5</v>
      </c>
      <c r="R63" s="1">
        <f>IF(O63="No Data","No Data",O63/(12-IF(O63&lt;12,VLOOKUP($A63,'Data Gaps'!$A:$N,5,FALSE),0)))</f>
        <v>0.54166666666666663</v>
      </c>
      <c r="S63" s="32">
        <f t="shared" si="3"/>
        <v>68.905553720713385</v>
      </c>
    </row>
    <row r="64" spans="1:19" x14ac:dyDescent="0.35">
      <c r="A64" s="1" t="s">
        <v>134</v>
      </c>
      <c r="B64" s="28" t="s">
        <v>135</v>
      </c>
      <c r="C64" s="1" t="s">
        <v>16</v>
      </c>
      <c r="D64" s="1" t="s">
        <v>17</v>
      </c>
      <c r="E64" s="28" t="s">
        <v>18</v>
      </c>
      <c r="F64" s="28" t="s">
        <v>160</v>
      </c>
      <c r="G64" s="28" t="str">
        <f>VLOOKUP($A64,'EBA2017'!$A:$G,7,FALSE)</f>
        <v>Two</v>
      </c>
      <c r="H64" s="32">
        <f>VLOOKUP($A64,'EBA2017'!$A:$N,13,FALSE)</f>
        <v>523</v>
      </c>
      <c r="I64" s="1">
        <f t="shared" si="2"/>
        <v>0.35067297198981418</v>
      </c>
      <c r="J64" s="1">
        <f>VLOOKUP($A64,'EBA2017'!$A:$N,14,FALSE)</f>
        <v>0</v>
      </c>
      <c r="K64" s="1">
        <f t="shared" si="4"/>
        <v>1</v>
      </c>
      <c r="L64" s="1">
        <f t="shared" si="5"/>
        <v>0.67533648599490714</v>
      </c>
      <c r="M64" s="32">
        <f>VLOOKUP(A64,'EBA2017'!A:N,10,FALSE)</f>
        <v>7</v>
      </c>
      <c r="N64" s="1">
        <f>VLOOKUP(A64,'EBA2017'!A:N,11,FALSE)</f>
        <v>5.5</v>
      </c>
      <c r="O64" s="1">
        <f>VLOOKUP(A64,'EBA2017'!A:N,12,FALSE)</f>
        <v>3</v>
      </c>
      <c r="P64" s="32">
        <f>IF(M64="No Data","No Data",M64/(10-IF(M64&lt;10,VLOOKUP($A64,'Data Gaps'!$A:$N,3,FALSE),0)))</f>
        <v>0.7</v>
      </c>
      <c r="Q64" s="1">
        <f>IF(N64="No Data","No Data",N64/(8-IF(N64&lt;8,VLOOKUP($A64,'Data Gaps'!$A:$N,4,FALSE),0)))</f>
        <v>0.6875</v>
      </c>
      <c r="R64" s="1">
        <f>IF(O64="No Data","No Data",O64/(12-IF(O64&lt;12,VLOOKUP($A64,'Data Gaps'!$A:$N,5,FALSE),0)))</f>
        <v>0.25</v>
      </c>
      <c r="S64" s="32">
        <f t="shared" si="3"/>
        <v>57.820912149872683</v>
      </c>
    </row>
    <row r="65" spans="1:19" x14ac:dyDescent="0.35">
      <c r="A65" s="1" t="s">
        <v>138</v>
      </c>
      <c r="B65" s="28" t="s">
        <v>139</v>
      </c>
      <c r="C65" s="1" t="s">
        <v>21</v>
      </c>
      <c r="D65" s="1" t="s">
        <v>22</v>
      </c>
      <c r="E65" s="28" t="s">
        <v>40</v>
      </c>
      <c r="F65" s="28" t="s">
        <v>160</v>
      </c>
      <c r="G65" s="28" t="str">
        <f>VLOOKUP($A65,'EBA2017'!$A:$G,7,FALSE)</f>
        <v>Two</v>
      </c>
      <c r="H65" s="32">
        <f>VLOOKUP($A65,'EBA2017'!$A:$N,13,FALSE)</f>
        <v>305</v>
      </c>
      <c r="I65" s="1">
        <f t="shared" si="2"/>
        <v>0.74718079301564189</v>
      </c>
      <c r="J65" s="1">
        <f>VLOOKUP($A65,'EBA2017'!$A:$N,14,FALSE)</f>
        <v>4.9781873335624134</v>
      </c>
      <c r="K65" s="1">
        <f t="shared" si="4"/>
        <v>0.99486633494292265</v>
      </c>
      <c r="L65" s="1">
        <f t="shared" si="5"/>
        <v>0.87102356397928227</v>
      </c>
      <c r="M65" s="32">
        <f>VLOOKUP(A65,'EBA2017'!A:N,10,FALSE)</f>
        <v>10</v>
      </c>
      <c r="N65" s="1">
        <f>VLOOKUP(A65,'EBA2017'!A:N,11,FALSE)</f>
        <v>4</v>
      </c>
      <c r="O65" s="1">
        <f>VLOOKUP(A65,'EBA2017'!A:N,12,FALSE)</f>
        <v>8.25</v>
      </c>
      <c r="P65" s="32">
        <f>IF(M65="No Data","No Data",M65/(10-IF(M65&lt;10,VLOOKUP($A65,'Data Gaps'!$A:$N,3,FALSE),0)))</f>
        <v>1</v>
      </c>
      <c r="Q65" s="1">
        <f>IF(N65="No Data","No Data",N65/(8-IF(N65&lt;8,VLOOKUP($A65,'Data Gaps'!$A:$N,4,FALSE),0)))</f>
        <v>0.5</v>
      </c>
      <c r="R65" s="1">
        <f>IF(O65="No Data","No Data",O65/(12-IF(O65&lt;12,VLOOKUP($A65,'Data Gaps'!$A:$N,5,FALSE),0)))</f>
        <v>0.6875</v>
      </c>
      <c r="S65" s="32">
        <f t="shared" si="3"/>
        <v>76.463089099482048</v>
      </c>
    </row>
    <row r="66" spans="1:19" x14ac:dyDescent="0.35">
      <c r="A66" s="1" t="s">
        <v>140</v>
      </c>
      <c r="B66" s="28" t="s">
        <v>141</v>
      </c>
      <c r="C66" s="1" t="s">
        <v>32</v>
      </c>
      <c r="D66" s="1" t="s">
        <v>33</v>
      </c>
      <c r="E66" s="28" t="s">
        <v>9</v>
      </c>
      <c r="F66" s="28" t="s">
        <v>162</v>
      </c>
      <c r="G66" s="28" t="str">
        <f>VLOOKUP($A66,'EBA2017'!$A:$G,7,FALSE)</f>
        <v>Two</v>
      </c>
      <c r="H66" s="32">
        <f>VLOOKUP($A66,'EBA2017'!$A:$N,13,FALSE)</f>
        <v>901</v>
      </c>
      <c r="I66" s="1">
        <f t="shared" si="2"/>
        <v>0</v>
      </c>
      <c r="J66" s="1">
        <f>VLOOKUP($A66,'EBA2017'!$A:$N,14,FALSE)</f>
        <v>406.21881409881706</v>
      </c>
      <c r="K66" s="1">
        <f t="shared" si="4"/>
        <v>0.58109424339919791</v>
      </c>
      <c r="L66" s="1">
        <f t="shared" si="5"/>
        <v>0.29054712169959895</v>
      </c>
      <c r="M66" s="32">
        <f>VLOOKUP(A66,'EBA2017'!A:N,10,FALSE)</f>
        <v>6</v>
      </c>
      <c r="N66" s="1">
        <f>VLOOKUP(A66,'EBA2017'!A:N,11,FALSE)</f>
        <v>5</v>
      </c>
      <c r="O66" s="1">
        <f>VLOOKUP(A66,'EBA2017'!A:N,12,FALSE)</f>
        <v>5</v>
      </c>
      <c r="P66" s="32">
        <f>IF(M66="No Data","No Data",M66/(10-IF(M66&lt;10,VLOOKUP($A66,'Data Gaps'!$A:$N,3,FALSE),0)))</f>
        <v>0.6</v>
      </c>
      <c r="Q66" s="1">
        <f>IF(N66="No Data","No Data",N66/(8-IF(N66&lt;8,VLOOKUP($A66,'Data Gaps'!$A:$N,4,FALSE),0)))</f>
        <v>0.625</v>
      </c>
      <c r="R66" s="1">
        <f>IF(O66="No Data","No Data",O66/(12-IF(O66&lt;12,VLOOKUP($A66,'Data Gaps'!$A:$N,5,FALSE),0)))</f>
        <v>0.41666666666666669</v>
      </c>
      <c r="S66" s="32">
        <f t="shared" si="3"/>
        <v>48.305344709156643</v>
      </c>
    </row>
    <row r="67" spans="1:19" x14ac:dyDescent="0.35">
      <c r="A67" s="1" t="s">
        <v>142</v>
      </c>
      <c r="B67" s="28" t="s">
        <v>143</v>
      </c>
      <c r="C67" s="1" t="s">
        <v>16</v>
      </c>
      <c r="D67" s="1" t="s">
        <v>17</v>
      </c>
      <c r="E67" s="28" t="s">
        <v>9</v>
      </c>
      <c r="F67" s="28" t="s">
        <v>162</v>
      </c>
      <c r="G67" s="28" t="str">
        <f>VLOOKUP($A67,'EBA2017'!$A:$G,7,FALSE)</f>
        <v>Two</v>
      </c>
      <c r="H67" s="32">
        <f>VLOOKUP($A67,'EBA2017'!$A:$N,13,FALSE)</f>
        <v>544</v>
      </c>
      <c r="I67" s="1">
        <f t="shared" si="2"/>
        <v>0.31247726445980323</v>
      </c>
      <c r="J67" s="1">
        <f>VLOOKUP($A67,'EBA2017'!$A:$N,14,FALSE)</f>
        <v>70.134228187919462</v>
      </c>
      <c r="K67" s="1">
        <f t="shared" si="4"/>
        <v>0.92767535401369472</v>
      </c>
      <c r="L67" s="1">
        <f t="shared" si="5"/>
        <v>0.62007630923674895</v>
      </c>
      <c r="M67" s="32">
        <f>VLOOKUP(A67,'EBA2017'!A:N,10,FALSE)</f>
        <v>8</v>
      </c>
      <c r="N67" s="1">
        <f>VLOOKUP(A67,'EBA2017'!A:N,11,FALSE)</f>
        <v>5.5</v>
      </c>
      <c r="O67" s="1">
        <f>VLOOKUP(A67,'EBA2017'!A:N,12,FALSE)</f>
        <v>8</v>
      </c>
      <c r="P67" s="32">
        <f>IF(M67="No Data","No Data",M67/(10-IF(M67&lt;10,VLOOKUP($A67,'Data Gaps'!$A:$N,3,FALSE),0)))</f>
        <v>0.8</v>
      </c>
      <c r="Q67" s="1">
        <f>IF(N67="No Data","No Data",N67/(8-IF(N67&lt;8,VLOOKUP($A67,'Data Gaps'!$A:$N,4,FALSE),0)))</f>
        <v>0.6875</v>
      </c>
      <c r="R67" s="1">
        <f>IF(O67="No Data","No Data",O67/(12-IF(O67&lt;12,VLOOKUP($A67,'Data Gaps'!$A:$N,5,FALSE),0)))</f>
        <v>0.66666666666666663</v>
      </c>
      <c r="S67" s="32">
        <f t="shared" si="3"/>
        <v>69.356074397585388</v>
      </c>
    </row>
    <row r="68" spans="1:19" x14ac:dyDescent="0.35">
      <c r="A68" s="1" t="s">
        <v>144</v>
      </c>
      <c r="B68" s="28" t="s">
        <v>145</v>
      </c>
      <c r="C68" s="1" t="s">
        <v>16</v>
      </c>
      <c r="D68" s="1" t="s">
        <v>17</v>
      </c>
      <c r="E68" s="28" t="s">
        <v>18</v>
      </c>
      <c r="F68" s="28" t="s">
        <v>160</v>
      </c>
      <c r="G68" s="28" t="str">
        <f>VLOOKUP($A68,'EBA2017'!$A:$G,7,FALSE)</f>
        <v>Two</v>
      </c>
      <c r="H68" s="32">
        <f>VLOOKUP($A68,'EBA2017'!$A:$N,13,FALSE)</f>
        <v>607</v>
      </c>
      <c r="I68" s="1">
        <f t="shared" si="2"/>
        <v>0.19789014186977041</v>
      </c>
      <c r="J68" s="1">
        <f>VLOOKUP($A68,'EBA2017'!$A:$N,14,FALSE)</f>
        <v>41.17647058823529</v>
      </c>
      <c r="K68" s="1">
        <f t="shared" si="4"/>
        <v>0.95753751434634604</v>
      </c>
      <c r="L68" s="1">
        <f t="shared" si="5"/>
        <v>0.57771382810805827</v>
      </c>
      <c r="M68" s="32">
        <f>VLOOKUP(A68,'EBA2017'!A:N,10,FALSE)</f>
        <v>10</v>
      </c>
      <c r="N68" s="1">
        <f>VLOOKUP(A68,'EBA2017'!A:N,11,FALSE)</f>
        <v>4</v>
      </c>
      <c r="O68" s="1">
        <f>VLOOKUP(A68,'EBA2017'!A:N,12,FALSE)</f>
        <v>8.5</v>
      </c>
      <c r="P68" s="32">
        <f>IF(M68="No Data","No Data",M68/(10-IF(M68&lt;10,VLOOKUP($A68,'Data Gaps'!$A:$N,3,FALSE),0)))</f>
        <v>1</v>
      </c>
      <c r="Q68" s="1">
        <f>IF(N68="No Data","No Data",N68/(8-IF(N68&lt;8,VLOOKUP($A68,'Data Gaps'!$A:$N,4,FALSE),0)))</f>
        <v>0.5</v>
      </c>
      <c r="R68" s="1">
        <f>IF(O68="No Data","No Data",O68/(12-IF(O68&lt;12,VLOOKUP($A68,'Data Gaps'!$A:$N,5,FALSE),0)))</f>
        <v>0.70833333333333337</v>
      </c>
      <c r="S68" s="32">
        <f t="shared" si="3"/>
        <v>69.65117903603479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8"/>
  <sheetViews>
    <sheetView workbookViewId="0">
      <pane xSplit="1" ySplit="6" topLeftCell="B7" activePane="bottomRight" state="frozen"/>
      <selection pane="topRight" activeCell="B1" sqref="B1"/>
      <selection pane="bottomLeft" activeCell="A7" sqref="A7"/>
      <selection pane="bottomRight" activeCell="M7" sqref="M7:O68"/>
    </sheetView>
  </sheetViews>
  <sheetFormatPr defaultRowHeight="14.5" x14ac:dyDescent="0.35"/>
  <cols>
    <col min="1" max="1" width="29.453125" customWidth="1"/>
    <col min="5" max="5" width="15.7265625" bestFit="1" customWidth="1"/>
    <col min="6" max="7" width="15.7265625" customWidth="1"/>
    <col min="8" max="8" width="10.7265625" style="33" customWidth="1"/>
    <col min="9" max="9" width="10.1796875" customWidth="1"/>
    <col min="10" max="11" width="10.7265625" customWidth="1"/>
    <col min="13" max="13" width="8.7265625" style="33"/>
    <col min="16" max="16" width="8.7265625" style="33"/>
    <col min="19" max="20" width="8.7265625" style="33"/>
  </cols>
  <sheetData>
    <row r="1" spans="1:19" x14ac:dyDescent="0.35">
      <c r="A1" s="1">
        <f>COLUMN()</f>
        <v>1</v>
      </c>
      <c r="B1" s="1">
        <f>COLUMN()</f>
        <v>2</v>
      </c>
      <c r="C1" s="1">
        <f>COLUMN()</f>
        <v>3</v>
      </c>
      <c r="D1" s="1">
        <f>COLUMN()</f>
        <v>4</v>
      </c>
      <c r="E1" s="1">
        <f>COLUMN()</f>
        <v>5</v>
      </c>
      <c r="F1" s="1">
        <f>COLUMN()</f>
        <v>6</v>
      </c>
      <c r="G1" s="1">
        <f>COLUMN()</f>
        <v>7</v>
      </c>
      <c r="H1" s="32">
        <f>COLUMN()</f>
        <v>8</v>
      </c>
      <c r="I1" s="1">
        <f>COLUMN()</f>
        <v>9</v>
      </c>
      <c r="J1" s="1">
        <f>COLUMN()</f>
        <v>10</v>
      </c>
      <c r="K1" s="1">
        <f>COLUMN()</f>
        <v>11</v>
      </c>
      <c r="L1" s="1">
        <f>COLUMN()</f>
        <v>12</v>
      </c>
      <c r="M1" s="32">
        <f>COLUMN()</f>
        <v>13</v>
      </c>
      <c r="N1" s="1">
        <f>COLUMN()</f>
        <v>14</v>
      </c>
      <c r="O1" s="1">
        <f>COLUMN()</f>
        <v>15</v>
      </c>
      <c r="P1" s="32">
        <f>COLUMN()</f>
        <v>16</v>
      </c>
      <c r="Q1" s="1">
        <f>COLUMN()</f>
        <v>17</v>
      </c>
      <c r="R1" s="1">
        <f>COLUMN()</f>
        <v>18</v>
      </c>
      <c r="S1" s="32">
        <f>COLUMN()</f>
        <v>19</v>
      </c>
    </row>
    <row r="2" spans="1:19" x14ac:dyDescent="0.35">
      <c r="A2" s="1" t="s">
        <v>225</v>
      </c>
      <c r="B2" s="1"/>
      <c r="C2" s="1"/>
      <c r="D2" s="1"/>
      <c r="E2" s="1"/>
      <c r="F2" s="1"/>
      <c r="G2" s="1"/>
      <c r="H2" s="32">
        <f>PERCENTILE(H7:H31,0.95)</f>
        <v>860.1999999999997</v>
      </c>
      <c r="I2" s="1"/>
      <c r="J2" s="1">
        <f>PERCENTILE(J7:J31,0.95)</f>
        <v>268.32510033902452</v>
      </c>
      <c r="K2" s="1"/>
    </row>
    <row r="3" spans="1:19" x14ac:dyDescent="0.35">
      <c r="A3" s="1" t="s">
        <v>226</v>
      </c>
      <c r="B3" s="1"/>
      <c r="C3" s="1"/>
      <c r="D3" s="1"/>
      <c r="E3" s="1"/>
      <c r="F3" s="1"/>
      <c r="G3" s="1"/>
      <c r="H3" s="32">
        <f>MIN(H7:H31)</f>
        <v>298</v>
      </c>
      <c r="I3" s="1"/>
      <c r="J3" s="1">
        <f>MIN(J7:J31)</f>
        <v>0</v>
      </c>
      <c r="K3" s="1"/>
    </row>
    <row r="4" spans="1:19" x14ac:dyDescent="0.35">
      <c r="A4" s="1" t="s">
        <v>227</v>
      </c>
      <c r="B4" s="1"/>
      <c r="C4" s="1"/>
      <c r="D4" s="1"/>
      <c r="E4" s="1"/>
      <c r="F4" s="1"/>
      <c r="G4" s="1"/>
      <c r="H4" s="32">
        <f>PERCENTILE(H32:H68,0.95)</f>
        <v>715.79999999999973</v>
      </c>
      <c r="I4" s="1"/>
      <c r="J4" s="1">
        <f>PERCENTILE(J32:J68,0.95)</f>
        <v>969.71408890407031</v>
      </c>
      <c r="K4" s="1"/>
    </row>
    <row r="5" spans="1:19" x14ac:dyDescent="0.35">
      <c r="A5" s="1" t="s">
        <v>228</v>
      </c>
      <c r="B5" s="1"/>
      <c r="C5" s="1"/>
      <c r="D5" s="1"/>
      <c r="E5" s="1"/>
      <c r="F5" s="1"/>
      <c r="G5" s="1"/>
      <c r="H5" s="32">
        <f>MIN(H32:H68)</f>
        <v>166</v>
      </c>
      <c r="I5" s="1"/>
      <c r="J5" s="1">
        <f>MIN(J32:J68)</f>
        <v>0</v>
      </c>
      <c r="K5" s="1"/>
    </row>
    <row r="6" spans="1:19" ht="73.5" x14ac:dyDescent="0.35">
      <c r="A6" s="25" t="s">
        <v>0</v>
      </c>
      <c r="B6" s="25" t="s">
        <v>1</v>
      </c>
      <c r="C6" s="25" t="s">
        <v>2</v>
      </c>
      <c r="D6" s="25" t="s">
        <v>3</v>
      </c>
      <c r="E6" s="25" t="s">
        <v>4</v>
      </c>
      <c r="F6" s="25" t="s">
        <v>156</v>
      </c>
      <c r="G6" s="25" t="s">
        <v>157</v>
      </c>
      <c r="H6" s="36" t="s">
        <v>229</v>
      </c>
      <c r="I6" s="27" t="s">
        <v>230</v>
      </c>
      <c r="J6" s="26" t="s">
        <v>231</v>
      </c>
      <c r="K6" s="27" t="s">
        <v>232</v>
      </c>
      <c r="L6" s="27" t="s">
        <v>243</v>
      </c>
      <c r="M6" s="34" t="s">
        <v>245</v>
      </c>
      <c r="N6" s="7" t="s">
        <v>246</v>
      </c>
      <c r="O6" s="35" t="s">
        <v>247</v>
      </c>
      <c r="P6" s="34" t="s">
        <v>248</v>
      </c>
      <c r="Q6" s="7" t="s">
        <v>249</v>
      </c>
      <c r="R6" s="35" t="s">
        <v>250</v>
      </c>
      <c r="S6" s="37" t="s">
        <v>244</v>
      </c>
    </row>
    <row r="7" spans="1:19" x14ac:dyDescent="0.35">
      <c r="A7" s="1" t="s">
        <v>5</v>
      </c>
      <c r="B7" s="28" t="s">
        <v>6</v>
      </c>
      <c r="C7" s="1" t="s">
        <v>7</v>
      </c>
      <c r="D7" s="1" t="s">
        <v>8</v>
      </c>
      <c r="E7" s="28" t="s">
        <v>9</v>
      </c>
      <c r="F7" s="28" t="s">
        <v>159</v>
      </c>
      <c r="G7" s="28" t="str">
        <f>VLOOKUP($A7,'EBA2017'!$A:$G,7,FALSE)</f>
        <v>One</v>
      </c>
      <c r="H7" s="32">
        <f>VLOOKUP($A7,Calculator!$A:$N,13,FALSE)</f>
        <v>587</v>
      </c>
      <c r="I7" s="1">
        <f>IF(G7="One",IF(H7="No practice",0,IF(H7&gt;$H$2,0,($H$2-H7)/($H$2-$H$3))),IF(H7="No practice",0,IF(H7&gt;$H$4,0,($H$4-H7)/($H$4-$H$5))))</f>
        <v>0.48594806118818901</v>
      </c>
      <c r="J7" s="1">
        <f>VLOOKUP($A7,Calculator!$A:$N,14,FALSE)</f>
        <v>18.483757633238948</v>
      </c>
      <c r="K7" s="1">
        <f t="shared" ref="K7:K38" si="0">IF(G7="One",IF(J7="No practice",0,IF(J7&gt;$J$2,0,($J$2-J7)/($J$2-$J$3))),IF(J7="No practice",0,IF(J7&gt;$J$4,0,($J$4-J7)/($J$4-$J$5))))</f>
        <v>0.93111431763228625</v>
      </c>
      <c r="L7" s="1">
        <f t="shared" ref="L7:L38" si="1">AVERAGE(I7,K7)</f>
        <v>0.70853118941023763</v>
      </c>
      <c r="M7" s="32">
        <f>VLOOKUP(A7,Calculator!A:N,10,FALSE)</f>
        <v>8</v>
      </c>
      <c r="N7" s="1">
        <f>VLOOKUP(A7,Calculator!A:N,11,FALSE)</f>
        <v>6.5</v>
      </c>
      <c r="O7" s="1">
        <f>VLOOKUP(A7,Calculator!A:N,12,FALSE)</f>
        <v>2</v>
      </c>
      <c r="P7" s="32">
        <f>IF(M7="No Data","No Data",M7/(10-IF(M7&lt;10,VLOOKUP($A7,'Data Gaps'!$A:$N,3,FALSE),0)))</f>
        <v>0.8</v>
      </c>
      <c r="Q7" s="1">
        <f>IF(N7="No Data","No Data",N7/(8-IF(N7&lt;8,VLOOKUP($A7,'Data Gaps'!$A:$N,4,FALSE),0)))</f>
        <v>0.8125</v>
      </c>
      <c r="R7" s="1">
        <f>IF(O7="No Data","No Data",O7/(12-IF(O7&lt;12,VLOOKUP($A7,'Data Gaps'!$A:$N,5,FALSE),0)))</f>
        <v>0.16666666666666666</v>
      </c>
      <c r="S7" s="32">
        <f>100*AVERAGE(L7,P7,Q7,R7)</f>
        <v>62.192446401922609</v>
      </c>
    </row>
    <row r="8" spans="1:19" x14ac:dyDescent="0.35">
      <c r="A8" s="1" t="s">
        <v>23</v>
      </c>
      <c r="B8" s="28" t="s">
        <v>24</v>
      </c>
      <c r="C8" s="1" t="s">
        <v>7</v>
      </c>
      <c r="D8" s="1" t="s">
        <v>8</v>
      </c>
      <c r="E8" s="29" t="s">
        <v>25</v>
      </c>
      <c r="F8" s="28" t="s">
        <v>161</v>
      </c>
      <c r="G8" s="28" t="str">
        <f>VLOOKUP($A8,'EBA2017'!$A:$G,7,FALSE)</f>
        <v>One</v>
      </c>
      <c r="H8" s="32" t="str">
        <f>VLOOKUP($A8,Calculator!$A:$N,13,FALSE)</f>
        <v>No practice</v>
      </c>
      <c r="I8" s="1">
        <f t="shared" ref="I8:I68" si="2">IF(G8="One",IF(H8="No practice",0,IF(H8&gt;$H$2,0,($H$2-H8)/($H$2-$H$3))),IF(H8="No practice",0,IF(H8&gt;$H$4,0,($H$4-H8)/($H$4-$H$5))))</f>
        <v>0</v>
      </c>
      <c r="J8" s="1" t="str">
        <f>VLOOKUP($A8,Calculator!$A:$N,14,FALSE)</f>
        <v>No practice</v>
      </c>
      <c r="K8" s="1">
        <f t="shared" si="0"/>
        <v>0</v>
      </c>
      <c r="L8" s="1">
        <f t="shared" si="1"/>
        <v>0</v>
      </c>
      <c r="M8" s="32">
        <f>VLOOKUP(A8,Calculator!A:N,10,FALSE)</f>
        <v>7</v>
      </c>
      <c r="N8" s="1">
        <f>VLOOKUP(A8,Calculator!A:N,11,FALSE)</f>
        <v>2</v>
      </c>
      <c r="O8" s="1">
        <f>VLOOKUP(A8,Calculator!A:N,12,FALSE)</f>
        <v>4</v>
      </c>
      <c r="P8" s="32">
        <f>IF(M8="No Data","No Data",M8/(10-IF(M8&lt;10,VLOOKUP($A8,'Data Gaps'!$A:$N,3,FALSE),0)))</f>
        <v>0.7</v>
      </c>
      <c r="Q8" s="1">
        <f>IF(N8="No Data","No Data",N8/(8-IF(N8&lt;8,VLOOKUP($A8,'Data Gaps'!$A:$N,4,FALSE),0)))</f>
        <v>0.25</v>
      </c>
      <c r="R8" s="1">
        <f>IF(O8="No Data","No Data",O8/(12-IF(O8&lt;12,VLOOKUP($A8,'Data Gaps'!$A:$N,5,FALSE),0)))</f>
        <v>0.33333333333333331</v>
      </c>
      <c r="S8" s="32">
        <f t="shared" ref="S8:S68" si="3">100*AVERAGE(L8,P8,Q8,R8)</f>
        <v>32.083333333333329</v>
      </c>
    </row>
    <row r="9" spans="1:19" x14ac:dyDescent="0.35">
      <c r="A9" s="1" t="s">
        <v>36</v>
      </c>
      <c r="B9" s="28" t="s">
        <v>37</v>
      </c>
      <c r="C9" s="1" t="s">
        <v>38</v>
      </c>
      <c r="D9" s="1" t="s">
        <v>39</v>
      </c>
      <c r="E9" s="29" t="s">
        <v>40</v>
      </c>
      <c r="F9" s="28" t="s">
        <v>159</v>
      </c>
      <c r="G9" s="28" t="str">
        <f>VLOOKUP($A9,'EBA2017'!$A:$G,7,FALSE)</f>
        <v>One</v>
      </c>
      <c r="H9" s="32">
        <f>VLOOKUP($A9,Calculator!$A:$N,13,FALSE)</f>
        <v>848</v>
      </c>
      <c r="I9" s="1">
        <f t="shared" si="2"/>
        <v>2.1700462468871771E-2</v>
      </c>
      <c r="J9" s="1">
        <f>VLOOKUP($A9,Calculator!$A:$N,14,FALSE)</f>
        <v>12.524716902469724</v>
      </c>
      <c r="K9" s="1">
        <f t="shared" si="0"/>
        <v>0.9533226042340246</v>
      </c>
      <c r="L9" s="1">
        <f t="shared" si="1"/>
        <v>0.4875115333514482</v>
      </c>
      <c r="M9" s="32">
        <f>VLOOKUP(A9,Calculator!A:N,10,FALSE)</f>
        <v>9</v>
      </c>
      <c r="N9" s="1">
        <f>VLOOKUP(A9,Calculator!A:N,11,FALSE)</f>
        <v>6</v>
      </c>
      <c r="O9" s="1">
        <f>VLOOKUP(A9,Calculator!A:N,12,FALSE)</f>
        <v>4</v>
      </c>
      <c r="P9" s="32">
        <f>IF(M9="No Data","No Data",M9/(10-IF(M9&lt;10,VLOOKUP($A9,'Data Gaps'!$A:$N,3,FALSE),0)))</f>
        <v>0.9</v>
      </c>
      <c r="Q9" s="1">
        <f>IF(N9="No Data","No Data",N9/(8-IF(N9&lt;8,VLOOKUP($A9,'Data Gaps'!$A:$N,4,FALSE),0)))</f>
        <v>0.75</v>
      </c>
      <c r="R9" s="1">
        <f>IF(O9="No Data","No Data",O9/(12-IF(O9&lt;12,VLOOKUP($A9,'Data Gaps'!$A:$N,5,FALSE),0)))</f>
        <v>0.33333333333333331</v>
      </c>
      <c r="S9" s="32">
        <f t="shared" si="3"/>
        <v>61.771121667119544</v>
      </c>
    </row>
    <row r="10" spans="1:19" x14ac:dyDescent="0.35">
      <c r="A10" s="1" t="s">
        <v>45</v>
      </c>
      <c r="B10" s="28" t="s">
        <v>46</v>
      </c>
      <c r="C10" s="1" t="s">
        <v>38</v>
      </c>
      <c r="D10" s="1" t="s">
        <v>39</v>
      </c>
      <c r="E10" s="29" t="s">
        <v>40</v>
      </c>
      <c r="F10" s="28" t="s">
        <v>162</v>
      </c>
      <c r="G10" s="28" t="str">
        <f>VLOOKUP($A10,'EBA2017'!$A:$G,7,FALSE)</f>
        <v>One</v>
      </c>
      <c r="H10" s="32">
        <f>VLOOKUP($A10,Calculator!$A:$N,13,FALSE)</f>
        <v>690</v>
      </c>
      <c r="I10" s="1">
        <f t="shared" si="2"/>
        <v>0.30273923870508679</v>
      </c>
      <c r="J10" s="1">
        <f>VLOOKUP($A10,Calculator!$A:$N,14,FALSE)</f>
        <v>7.3891268249424407</v>
      </c>
      <c r="K10" s="1">
        <f t="shared" si="0"/>
        <v>0.97246203647885954</v>
      </c>
      <c r="L10" s="1">
        <f t="shared" si="1"/>
        <v>0.63760063759197316</v>
      </c>
      <c r="M10" s="32">
        <f>VLOOKUP(A10,Calculator!A:N,10,FALSE)</f>
        <v>9</v>
      </c>
      <c r="N10" s="1">
        <f>VLOOKUP(A10,Calculator!A:N,11,FALSE)</f>
        <v>7</v>
      </c>
      <c r="O10" s="1">
        <f>VLOOKUP(A10,Calculator!A:N,12,FALSE)</f>
        <v>12</v>
      </c>
      <c r="P10" s="32">
        <f>IF(M10="No Data","No Data",M10/(10-IF(M10&lt;10,VLOOKUP($A10,'Data Gaps'!$A:$N,3,FALSE),0)))</f>
        <v>0.9</v>
      </c>
      <c r="Q10" s="1">
        <f>IF(N10="No Data","No Data",N10/(8-IF(N10&lt;8,VLOOKUP($A10,'Data Gaps'!$A:$N,4,FALSE),0)))</f>
        <v>0.875</v>
      </c>
      <c r="R10" s="1">
        <f>IF(O10="No Data","No Data",O10/(12-IF(O10&lt;12,VLOOKUP($A10,'Data Gaps'!$A:$N,5,FALSE),0)))</f>
        <v>1</v>
      </c>
      <c r="S10" s="32">
        <f t="shared" si="3"/>
        <v>85.315015939799338</v>
      </c>
    </row>
    <row r="11" spans="1:19" x14ac:dyDescent="0.35">
      <c r="A11" s="1" t="s">
        <v>120</v>
      </c>
      <c r="B11" s="28" t="s">
        <v>121</v>
      </c>
      <c r="C11" s="1" t="s">
        <v>38</v>
      </c>
      <c r="D11" s="1" t="s">
        <v>39</v>
      </c>
      <c r="E11" s="29" t="s">
        <v>40</v>
      </c>
      <c r="F11" s="28" t="s">
        <v>159</v>
      </c>
      <c r="G11" s="28" t="str">
        <f>VLOOKUP($A11,'EBA2017'!$A:$G,7,FALSE)</f>
        <v>One</v>
      </c>
      <c r="H11" s="32">
        <f>VLOOKUP($A11,Calculator!$A:$N,13,FALSE)</f>
        <v>598</v>
      </c>
      <c r="I11" s="1">
        <f t="shared" si="2"/>
        <v>0.46638207043756641</v>
      </c>
      <c r="J11" s="1">
        <f>VLOOKUP($A11,Calculator!$A:$N,14,FALSE)</f>
        <v>9.2655549893308446</v>
      </c>
      <c r="K11" s="1">
        <f t="shared" si="0"/>
        <v>0.96546892192484435</v>
      </c>
      <c r="L11" s="1">
        <f t="shared" si="1"/>
        <v>0.71592549618120538</v>
      </c>
      <c r="M11" s="32">
        <f>VLOOKUP(A11,Calculator!A:N,10,FALSE)</f>
        <v>10</v>
      </c>
      <c r="N11" s="1">
        <f>VLOOKUP(A11,Calculator!A:N,11,FALSE)</f>
        <v>6</v>
      </c>
      <c r="O11" s="1">
        <f>VLOOKUP(A11,Calculator!A:N,12,FALSE)</f>
        <v>12</v>
      </c>
      <c r="P11" s="32">
        <f>IF(M11="No Data","No Data",M11/(10-IF(M11&lt;10,VLOOKUP($A11,'Data Gaps'!$A:$N,3,FALSE),0)))</f>
        <v>1</v>
      </c>
      <c r="Q11" s="1">
        <f>IF(N11="No Data","No Data",N11/(8-IF(N11&lt;8,VLOOKUP($A11,'Data Gaps'!$A:$N,4,FALSE),0)))</f>
        <v>0.75</v>
      </c>
      <c r="R11" s="1">
        <f>IF(O11="No Data","No Data",O11/(12-IF(O11&lt;12,VLOOKUP($A11,'Data Gaps'!$A:$N,5,FALSE),0)))</f>
        <v>1</v>
      </c>
      <c r="S11" s="32">
        <f t="shared" si="3"/>
        <v>86.648137404530132</v>
      </c>
    </row>
    <row r="12" spans="1:19" x14ac:dyDescent="0.35">
      <c r="A12" s="1" t="s">
        <v>53</v>
      </c>
      <c r="B12" s="28" t="s">
        <v>54</v>
      </c>
      <c r="C12" s="1" t="s">
        <v>7</v>
      </c>
      <c r="D12" s="1" t="s">
        <v>8</v>
      </c>
      <c r="E12" s="29" t="s">
        <v>25</v>
      </c>
      <c r="F12" s="28" t="s">
        <v>162</v>
      </c>
      <c r="G12" s="28" t="str">
        <f>VLOOKUP($A12,'EBA2017'!$A:$G,7,FALSE)</f>
        <v>One</v>
      </c>
      <c r="H12" s="32">
        <f>VLOOKUP($A12,Calculator!$A:$N,13,FALSE)</f>
        <v>581</v>
      </c>
      <c r="I12" s="1">
        <f t="shared" si="2"/>
        <v>0.49662041977943766</v>
      </c>
      <c r="J12" s="1">
        <f>VLOOKUP($A12,Calculator!$A:$N,14,FALSE)</f>
        <v>0</v>
      </c>
      <c r="K12" s="1">
        <f t="shared" si="0"/>
        <v>1</v>
      </c>
      <c r="L12" s="1">
        <f t="shared" si="1"/>
        <v>0.74831020988971886</v>
      </c>
      <c r="M12" s="32">
        <f>VLOOKUP(A12,Calculator!A:N,10,FALSE)</f>
        <v>9</v>
      </c>
      <c r="N12" s="1">
        <f>VLOOKUP(A12,Calculator!A:N,11,FALSE)</f>
        <v>7</v>
      </c>
      <c r="O12" s="1">
        <f>VLOOKUP(A12,Calculator!A:N,12,FALSE)</f>
        <v>4</v>
      </c>
      <c r="P12" s="32">
        <f>IF(M12="No Data","No Data",M12/(10-IF(M12&lt;10,VLOOKUP($A12,'Data Gaps'!$A:$N,3,FALSE),0)))</f>
        <v>0.9</v>
      </c>
      <c r="Q12" s="1">
        <f>IF(N12="No Data","No Data",N12/(8-IF(N12&lt;8,VLOOKUP($A12,'Data Gaps'!$A:$N,4,FALSE),0)))</f>
        <v>0.875</v>
      </c>
      <c r="R12" s="1">
        <f>IF(O12="No Data","No Data",O12/(12-IF(O12&lt;12,VLOOKUP($A12,'Data Gaps'!$A:$N,5,FALSE),0)))</f>
        <v>0.33333333333333331</v>
      </c>
      <c r="S12" s="32">
        <f t="shared" si="3"/>
        <v>71.416088580576314</v>
      </c>
    </row>
    <row r="13" spans="1:19" x14ac:dyDescent="0.35">
      <c r="A13" s="1" t="s">
        <v>57</v>
      </c>
      <c r="B13" s="28" t="s">
        <v>58</v>
      </c>
      <c r="C13" s="1" t="s">
        <v>38</v>
      </c>
      <c r="D13" s="1" t="s">
        <v>39</v>
      </c>
      <c r="E13" s="29" t="s">
        <v>40</v>
      </c>
      <c r="F13" s="28" t="s">
        <v>159</v>
      </c>
      <c r="G13" s="28" t="str">
        <f>VLOOKUP($A13,'EBA2017'!$A:$G,7,FALSE)</f>
        <v>One</v>
      </c>
      <c r="H13" s="32">
        <f>VLOOKUP($A13,Calculator!$A:$N,13,FALSE)</f>
        <v>729</v>
      </c>
      <c r="I13" s="1">
        <f t="shared" si="2"/>
        <v>0.23336890786197043</v>
      </c>
      <c r="J13" s="1">
        <f>VLOOKUP($A13,Calculator!$A:$N,14,FALSE)</f>
        <v>8.6712580119792406</v>
      </c>
      <c r="K13" s="1">
        <f t="shared" si="0"/>
        <v>0.96768376122463662</v>
      </c>
      <c r="L13" s="1">
        <f t="shared" si="1"/>
        <v>0.60052633454330351</v>
      </c>
      <c r="M13" s="32">
        <f>VLOOKUP(A13,Calculator!A:N,10,FALSE)</f>
        <v>8</v>
      </c>
      <c r="N13" s="1">
        <f>VLOOKUP(A13,Calculator!A:N,11,FALSE)</f>
        <v>5</v>
      </c>
      <c r="O13" s="1">
        <f>VLOOKUP(A13,Calculator!A:N,12,FALSE)</f>
        <v>9.5</v>
      </c>
      <c r="P13" s="32">
        <f>IF(M13="No Data","No Data",M13/(10-IF(M13&lt;10,VLOOKUP($A13,'Data Gaps'!$A:$N,3,FALSE),0)))</f>
        <v>0.8</v>
      </c>
      <c r="Q13" s="1">
        <f>IF(N13="No Data","No Data",N13/(8-IF(N13&lt;8,VLOOKUP($A13,'Data Gaps'!$A:$N,4,FALSE),0)))</f>
        <v>0.625</v>
      </c>
      <c r="R13" s="1">
        <f>IF(O13="No Data","No Data",O13/(12-IF(O13&lt;12,VLOOKUP($A13,'Data Gaps'!$A:$N,5,FALSE),0)))</f>
        <v>0.79166666666666663</v>
      </c>
      <c r="S13" s="32">
        <f t="shared" si="3"/>
        <v>70.429825030249248</v>
      </c>
    </row>
    <row r="14" spans="1:19" x14ac:dyDescent="0.35">
      <c r="A14" s="1" t="s">
        <v>64</v>
      </c>
      <c r="B14" s="28" t="s">
        <v>65</v>
      </c>
      <c r="C14" s="1" t="s">
        <v>38</v>
      </c>
      <c r="D14" s="1" t="s">
        <v>39</v>
      </c>
      <c r="E14" s="28" t="s">
        <v>40</v>
      </c>
      <c r="F14" s="28" t="s">
        <v>159</v>
      </c>
      <c r="G14" s="28" t="str">
        <f>VLOOKUP($A14,'EBA2017'!$A:$G,7,FALSE)</f>
        <v>One</v>
      </c>
      <c r="H14" s="32">
        <f>VLOOKUP($A14,Calculator!$A:$N,13,FALSE)</f>
        <v>624</v>
      </c>
      <c r="I14" s="1">
        <f t="shared" si="2"/>
        <v>0.4201351832088222</v>
      </c>
      <c r="J14" s="1">
        <f>VLOOKUP($A14,Calculator!$A:$N,14,FALSE)</f>
        <v>5.5809979481242911</v>
      </c>
      <c r="K14" s="1">
        <f t="shared" si="0"/>
        <v>0.97920061171663497</v>
      </c>
      <c r="L14" s="1">
        <f t="shared" si="1"/>
        <v>0.69966789746272862</v>
      </c>
      <c r="M14" s="32">
        <f>VLOOKUP(A14,Calculator!A:N,10,FALSE)</f>
        <v>10</v>
      </c>
      <c r="N14" s="1">
        <f>VLOOKUP(A14,Calculator!A:N,11,FALSE)</f>
        <v>5.5</v>
      </c>
      <c r="O14" s="1">
        <f>VLOOKUP(A14,Calculator!A:N,12,FALSE)</f>
        <v>10.5</v>
      </c>
      <c r="P14" s="32">
        <f>IF(M14="No Data","No Data",M14/(10-IF(M14&lt;10,VLOOKUP($A14,'Data Gaps'!$A:$N,3,FALSE),0)))</f>
        <v>1</v>
      </c>
      <c r="Q14" s="1">
        <f>IF(N14="No Data","No Data",N14/(8-IF(N14&lt;8,VLOOKUP($A14,'Data Gaps'!$A:$N,4,FALSE),0)))</f>
        <v>0.6875</v>
      </c>
      <c r="R14" s="1">
        <f>IF(O14="No Data","No Data",O14/(12-IF(O14&lt;12,VLOOKUP($A14,'Data Gaps'!$A:$N,5,FALSE),0)))</f>
        <v>0.875</v>
      </c>
      <c r="S14" s="32">
        <f t="shared" si="3"/>
        <v>81.554197436568217</v>
      </c>
    </row>
    <row r="15" spans="1:19" x14ac:dyDescent="0.35">
      <c r="A15" s="1" t="s">
        <v>68</v>
      </c>
      <c r="B15" s="28" t="s">
        <v>69</v>
      </c>
      <c r="C15" s="1" t="s">
        <v>7</v>
      </c>
      <c r="D15" s="1" t="s">
        <v>8</v>
      </c>
      <c r="E15" s="28" t="s">
        <v>25</v>
      </c>
      <c r="F15" s="28" t="s">
        <v>162</v>
      </c>
      <c r="G15" s="28" t="str">
        <f>VLOOKUP($A15,'EBA2017'!$A:$G,7,FALSE)</f>
        <v>One</v>
      </c>
      <c r="H15" s="32" t="str">
        <f>VLOOKUP($A15,Calculator!$A:$N,13,FALSE)</f>
        <v>No practice</v>
      </c>
      <c r="I15" s="1">
        <f t="shared" si="2"/>
        <v>0</v>
      </c>
      <c r="J15" s="1" t="str">
        <f>VLOOKUP($A15,Calculator!$A:$N,14,FALSE)</f>
        <v>No practice</v>
      </c>
      <c r="K15" s="1">
        <f t="shared" si="0"/>
        <v>0</v>
      </c>
      <c r="L15" s="1">
        <f t="shared" si="1"/>
        <v>0</v>
      </c>
      <c r="M15" s="32">
        <f>VLOOKUP(A15,Calculator!A:N,10,FALSE)</f>
        <v>10</v>
      </c>
      <c r="N15" s="1">
        <f>VLOOKUP(A15,Calculator!A:N,11,FALSE)</f>
        <v>6.5</v>
      </c>
      <c r="O15" s="1">
        <f>VLOOKUP(A15,Calculator!A:N,12,FALSE)</f>
        <v>4</v>
      </c>
      <c r="P15" s="32">
        <f>IF(M15="No Data","No Data",M15/(10-IF(M15&lt;10,VLOOKUP($A15,'Data Gaps'!$A:$N,3,FALSE),0)))</f>
        <v>1</v>
      </c>
      <c r="Q15" s="1">
        <f>IF(N15="No Data","No Data",N15/(8-IF(N15&lt;8,VLOOKUP($A15,'Data Gaps'!$A:$N,4,FALSE),0)))</f>
        <v>0.8125</v>
      </c>
      <c r="R15" s="1">
        <f>IF(O15="No Data","No Data",O15/(12-IF(O15&lt;12,VLOOKUP($A15,'Data Gaps'!$A:$N,5,FALSE),0)))</f>
        <v>0.33333333333333331</v>
      </c>
      <c r="S15" s="32">
        <f t="shared" si="3"/>
        <v>53.645833333333336</v>
      </c>
    </row>
    <row r="16" spans="1:19" x14ac:dyDescent="0.35">
      <c r="A16" s="1" t="s">
        <v>74</v>
      </c>
      <c r="B16" s="28" t="s">
        <v>75</v>
      </c>
      <c r="C16" s="1" t="s">
        <v>7</v>
      </c>
      <c r="D16" s="1" t="s">
        <v>8</v>
      </c>
      <c r="E16" s="28" t="s">
        <v>9</v>
      </c>
      <c r="F16" s="28" t="s">
        <v>161</v>
      </c>
      <c r="G16" s="28" t="str">
        <f>VLOOKUP($A16,'EBA2017'!$A:$G,7,FALSE)</f>
        <v>One</v>
      </c>
      <c r="H16" s="32">
        <f>VLOOKUP($A16,Calculator!$A:$N,13,FALSE)</f>
        <v>970</v>
      </c>
      <c r="I16" s="1">
        <f t="shared" si="2"/>
        <v>0</v>
      </c>
      <c r="J16" s="1">
        <f>VLOOKUP($A16,Calculator!$A:$N,14,FALSE)</f>
        <v>219.41934868282291</v>
      </c>
      <c r="K16" s="1">
        <f t="shared" si="0"/>
        <v>0.18226305177715377</v>
      </c>
      <c r="L16" s="1">
        <f t="shared" si="1"/>
        <v>9.1131525888576884E-2</v>
      </c>
      <c r="M16" s="32">
        <f>VLOOKUP(A16,Calculator!A:N,10,FALSE)</f>
        <v>7</v>
      </c>
      <c r="N16" s="1">
        <f>VLOOKUP(A16,Calculator!A:N,11,FALSE)</f>
        <v>4</v>
      </c>
      <c r="O16" s="1">
        <f>VLOOKUP(A16,Calculator!A:N,12,FALSE)</f>
        <v>2</v>
      </c>
      <c r="P16" s="32">
        <f>IF(M16="No Data","No Data",M16/(10-IF(M16&lt;10,VLOOKUP($A16,'Data Gaps'!$A:$N,3,FALSE),0)))</f>
        <v>0.7</v>
      </c>
      <c r="Q16" s="1">
        <f>IF(N16="No Data","No Data",N16/(8-IF(N16&lt;8,VLOOKUP($A16,'Data Gaps'!$A:$N,4,FALSE),0)))</f>
        <v>0.5</v>
      </c>
      <c r="R16" s="1">
        <f>IF(O16="No Data","No Data",O16/(12-IF(O16&lt;12,VLOOKUP($A16,'Data Gaps'!$A:$N,5,FALSE),0)))</f>
        <v>0.16666666666666666</v>
      </c>
      <c r="S16" s="32">
        <f t="shared" si="3"/>
        <v>36.44495481388109</v>
      </c>
    </row>
    <row r="17" spans="1:19" x14ac:dyDescent="0.35">
      <c r="A17" s="1" t="s">
        <v>72</v>
      </c>
      <c r="B17" s="28" t="s">
        <v>73</v>
      </c>
      <c r="C17" s="1" t="s">
        <v>38</v>
      </c>
      <c r="D17" s="1" t="s">
        <v>39</v>
      </c>
      <c r="E17" s="28" t="s">
        <v>40</v>
      </c>
      <c r="F17" s="28" t="s">
        <v>161</v>
      </c>
      <c r="G17" s="28" t="str">
        <f>VLOOKUP($A17,'EBA2017'!$A:$G,7,FALSE)</f>
        <v>One</v>
      </c>
      <c r="H17" s="32">
        <f>VLOOKUP($A17,Calculator!$A:$N,13,FALSE)</f>
        <v>298</v>
      </c>
      <c r="I17" s="1">
        <f t="shared" si="2"/>
        <v>1</v>
      </c>
      <c r="J17" s="1">
        <f>VLOOKUP($A17,Calculator!$A:$N,14,FALSE)</f>
        <v>1.9985471545960749</v>
      </c>
      <c r="K17" s="1">
        <f t="shared" si="0"/>
        <v>0.99255176965527669</v>
      </c>
      <c r="L17" s="1">
        <f t="shared" si="1"/>
        <v>0.99627588482763829</v>
      </c>
      <c r="M17" s="32">
        <f>VLOOKUP(A17,Calculator!A:N,10,FALSE)</f>
        <v>9</v>
      </c>
      <c r="N17" s="1">
        <f>VLOOKUP(A17,Calculator!A:N,11,FALSE)</f>
        <v>5</v>
      </c>
      <c r="O17" s="1">
        <f>VLOOKUP(A17,Calculator!A:N,12,FALSE)</f>
        <v>5.25</v>
      </c>
      <c r="P17" s="32">
        <f>IF(M17="No Data","No Data",M17/(10-IF(M17&lt;10,VLOOKUP($A17,'Data Gaps'!$A:$N,3,FALSE),0)))</f>
        <v>1</v>
      </c>
      <c r="Q17" s="1">
        <f>IF(N17="No Data","No Data",N17/(8-IF(N17&lt;8,VLOOKUP($A17,'Data Gaps'!$A:$N,4,FALSE),0)))</f>
        <v>0.625</v>
      </c>
      <c r="R17" s="1">
        <f>IF(O17="No Data","No Data",O17/(12-IF(O17&lt;12,VLOOKUP($A17,'Data Gaps'!$A:$N,5,FALSE),0)))</f>
        <v>0.47727272727272729</v>
      </c>
      <c r="S17" s="32">
        <f t="shared" si="3"/>
        <v>77.463715302509144</v>
      </c>
    </row>
    <row r="18" spans="1:19" x14ac:dyDescent="0.35">
      <c r="A18" s="1" t="s">
        <v>78</v>
      </c>
      <c r="B18" s="28" t="s">
        <v>79</v>
      </c>
      <c r="C18" s="1" t="s">
        <v>16</v>
      </c>
      <c r="D18" s="1" t="s">
        <v>17</v>
      </c>
      <c r="E18" s="28" t="s">
        <v>18</v>
      </c>
      <c r="F18" s="28" t="s">
        <v>160</v>
      </c>
      <c r="G18" s="28" t="str">
        <f>VLOOKUP($A18,'EBA2017'!$A:$G,7,FALSE)</f>
        <v>One</v>
      </c>
      <c r="H18" s="32" t="str">
        <f>VLOOKUP($A18,Calculator!$A:$N,13,FALSE)</f>
        <v>No practice</v>
      </c>
      <c r="I18" s="1">
        <f t="shared" si="2"/>
        <v>0</v>
      </c>
      <c r="J18" s="1" t="str">
        <f>VLOOKUP($A18,Calculator!$A:$N,14,FALSE)</f>
        <v>No practice</v>
      </c>
      <c r="K18" s="1">
        <f t="shared" si="0"/>
        <v>0</v>
      </c>
      <c r="L18" s="1">
        <f t="shared" si="1"/>
        <v>0</v>
      </c>
      <c r="M18" s="32">
        <f>VLOOKUP(A18,Calculator!A:N,10,FALSE)</f>
        <v>3</v>
      </c>
      <c r="N18" s="1">
        <f>VLOOKUP(A18,Calculator!A:N,11,FALSE)</f>
        <v>0</v>
      </c>
      <c r="O18" s="1">
        <f>VLOOKUP(A18,Calculator!A:N,12,FALSE)</f>
        <v>0</v>
      </c>
      <c r="P18" s="32">
        <f>IF(M18="No Data","No Data",M18/(10-IF(M18&lt;10,VLOOKUP($A18,'Data Gaps'!$A:$N,3,FALSE),0)))</f>
        <v>0.3</v>
      </c>
      <c r="Q18" s="1">
        <f>IF(N18="No Data","No Data",N18/(8-IF(N18&lt;8,VLOOKUP($A18,'Data Gaps'!$A:$N,4,FALSE),0)))</f>
        <v>0</v>
      </c>
      <c r="R18" s="1">
        <f>IF(O18="No Data","No Data",O18/(12-IF(O18&lt;12,VLOOKUP($A18,'Data Gaps'!$A:$N,5,FALSE),0)))</f>
        <v>0</v>
      </c>
      <c r="S18" s="32">
        <f t="shared" si="3"/>
        <v>7.5</v>
      </c>
    </row>
    <row r="19" spans="1:19" x14ac:dyDescent="0.35">
      <c r="A19" s="1" t="s">
        <v>84</v>
      </c>
      <c r="B19" s="28" t="s">
        <v>85</v>
      </c>
      <c r="C19" s="1" t="s">
        <v>16</v>
      </c>
      <c r="D19" s="1" t="s">
        <v>17</v>
      </c>
      <c r="E19" s="28" t="s">
        <v>18</v>
      </c>
      <c r="F19" s="28" t="s">
        <v>159</v>
      </c>
      <c r="G19" s="28" t="str">
        <f>VLOOKUP($A19,'EBA2017'!$A:$G,7,FALSE)</f>
        <v>One</v>
      </c>
      <c r="H19" s="32" t="str">
        <f>VLOOKUP($A19,Calculator!$A:$N,13,FALSE)</f>
        <v>No practice</v>
      </c>
      <c r="I19" s="1">
        <f t="shared" si="2"/>
        <v>0</v>
      </c>
      <c r="J19" s="1" t="str">
        <f>VLOOKUP($A19,Calculator!$A:$N,14,FALSE)</f>
        <v>No practice</v>
      </c>
      <c r="K19" s="1">
        <f t="shared" si="0"/>
        <v>0</v>
      </c>
      <c r="L19" s="1">
        <f t="shared" si="1"/>
        <v>0</v>
      </c>
      <c r="M19" s="32">
        <f>VLOOKUP(A19,Calculator!A:N,10,FALSE)</f>
        <v>4</v>
      </c>
      <c r="N19" s="1">
        <f>VLOOKUP(A19,Calculator!A:N,11,FALSE)</f>
        <v>5</v>
      </c>
      <c r="O19" s="1">
        <f>VLOOKUP(A19,Calculator!A:N,12,FALSE)</f>
        <v>5</v>
      </c>
      <c r="P19" s="32">
        <f>IF(M19="No Data","No Data",M19/(10-IF(M19&lt;10,VLOOKUP($A19,'Data Gaps'!$A:$N,3,FALSE),0)))</f>
        <v>0.4</v>
      </c>
      <c r="Q19" s="1">
        <f>IF(N19="No Data","No Data",N19/(8-IF(N19&lt;8,VLOOKUP($A19,'Data Gaps'!$A:$N,4,FALSE),0)))</f>
        <v>0.625</v>
      </c>
      <c r="R19" s="1">
        <f>IF(O19="No Data","No Data",O19/(12-IF(O19&lt;12,VLOOKUP($A19,'Data Gaps'!$A:$N,5,FALSE),0)))</f>
        <v>0.45454545454545453</v>
      </c>
      <c r="S19" s="32">
        <f t="shared" si="3"/>
        <v>36.98863636363636</v>
      </c>
    </row>
    <row r="20" spans="1:19" x14ac:dyDescent="0.35">
      <c r="A20" s="1" t="s">
        <v>96</v>
      </c>
      <c r="B20" s="28" t="s">
        <v>97</v>
      </c>
      <c r="C20" s="1" t="s">
        <v>38</v>
      </c>
      <c r="D20" s="1" t="s">
        <v>39</v>
      </c>
      <c r="E20" s="28" t="s">
        <v>40</v>
      </c>
      <c r="F20" s="28" t="s">
        <v>161</v>
      </c>
      <c r="G20" s="28" t="str">
        <f>VLOOKUP($A20,'EBA2017'!$A:$G,7,FALSE)</f>
        <v>One</v>
      </c>
      <c r="H20" s="32">
        <f>VLOOKUP($A20,Calculator!$A:$N,13,FALSE)</f>
        <v>556</v>
      </c>
      <c r="I20" s="1">
        <f t="shared" si="2"/>
        <v>0.54108858057630715</v>
      </c>
      <c r="J20" s="1">
        <f>VLOOKUP($A20,Calculator!$A:$N,14,FALSE)</f>
        <v>13.712385666442032</v>
      </c>
      <c r="K20" s="1">
        <f t="shared" si="0"/>
        <v>0.94889637365599921</v>
      </c>
      <c r="L20" s="1">
        <f t="shared" si="1"/>
        <v>0.74499247711615313</v>
      </c>
      <c r="M20" s="32">
        <f>VLOOKUP(A20,Calculator!A:N,10,FALSE)</f>
        <v>9</v>
      </c>
      <c r="N20" s="1">
        <f>VLOOKUP(A20,Calculator!A:N,11,FALSE)</f>
        <v>7</v>
      </c>
      <c r="O20" s="1">
        <f>VLOOKUP(A20,Calculator!A:N,12,FALSE)</f>
        <v>12</v>
      </c>
      <c r="P20" s="32">
        <f>IF(M20="No Data","No Data",M20/(10-IF(M20&lt;10,VLOOKUP($A20,'Data Gaps'!$A:$N,3,FALSE),0)))</f>
        <v>0.9</v>
      </c>
      <c r="Q20" s="1">
        <f>IF(N20="No Data","No Data",N20/(8-IF(N20&lt;8,VLOOKUP($A20,'Data Gaps'!$A:$N,4,FALSE),0)))</f>
        <v>0.875</v>
      </c>
      <c r="R20" s="1">
        <f>IF(O20="No Data","No Data",O20/(12-IF(O20&lt;12,VLOOKUP($A20,'Data Gaps'!$A:$N,5,FALSE),0)))</f>
        <v>1</v>
      </c>
      <c r="S20" s="32">
        <f t="shared" si="3"/>
        <v>87.999811927903821</v>
      </c>
    </row>
    <row r="21" spans="1:19" x14ac:dyDescent="0.35">
      <c r="A21" s="1" t="s">
        <v>94</v>
      </c>
      <c r="B21" s="28" t="s">
        <v>95</v>
      </c>
      <c r="C21" s="1" t="s">
        <v>12</v>
      </c>
      <c r="D21" s="1" t="s">
        <v>13</v>
      </c>
      <c r="E21" s="28" t="s">
        <v>18</v>
      </c>
      <c r="F21" s="28" t="s">
        <v>160</v>
      </c>
      <c r="G21" s="28" t="str">
        <f>VLOOKUP($A21,'EBA2017'!$A:$G,7,FALSE)</f>
        <v>One</v>
      </c>
      <c r="H21" s="32">
        <f>VLOOKUP($A21,Calculator!$A:$N,13,FALSE)</f>
        <v>611</v>
      </c>
      <c r="I21" s="1">
        <f t="shared" si="2"/>
        <v>0.44325862682319428</v>
      </c>
      <c r="J21" s="1">
        <f>VLOOKUP($A21,Calculator!$A:$N,14,FALSE)</f>
        <v>0</v>
      </c>
      <c r="K21" s="1">
        <f t="shared" si="0"/>
        <v>1</v>
      </c>
      <c r="L21" s="1">
        <f t="shared" si="1"/>
        <v>0.7216293134115972</v>
      </c>
      <c r="M21" s="32">
        <f>VLOOKUP(A21,Calculator!A:N,10,FALSE)</f>
        <v>4</v>
      </c>
      <c r="N21" s="1">
        <f>VLOOKUP(A21,Calculator!A:N,11,FALSE)</f>
        <v>5.5</v>
      </c>
      <c r="O21" s="1">
        <f>VLOOKUP(A21,Calculator!A:N,12,FALSE)</f>
        <v>1</v>
      </c>
      <c r="P21" s="32">
        <f>IF(M21="No Data","No Data",M21/(10-IF(M21&lt;10,VLOOKUP($A21,'Data Gaps'!$A:$N,3,FALSE),0)))</f>
        <v>0.4</v>
      </c>
      <c r="Q21" s="1">
        <f>IF(N21="No Data","No Data",N21/(8-IF(N21&lt;8,VLOOKUP($A21,'Data Gaps'!$A:$N,4,FALSE),0)))</f>
        <v>0.6875</v>
      </c>
      <c r="R21" s="1">
        <f>IF(O21="No Data","No Data",O21/(12-IF(O21&lt;12,VLOOKUP($A21,'Data Gaps'!$A:$N,5,FALSE),0)))</f>
        <v>8.3333333333333329E-2</v>
      </c>
      <c r="S21" s="32">
        <f t="shared" si="3"/>
        <v>47.311566168623258</v>
      </c>
    </row>
    <row r="22" spans="1:19" x14ac:dyDescent="0.35">
      <c r="A22" s="1" t="s">
        <v>104</v>
      </c>
      <c r="B22" s="28" t="s">
        <v>105</v>
      </c>
      <c r="C22" s="1" t="s">
        <v>21</v>
      </c>
      <c r="D22" s="1" t="s">
        <v>22</v>
      </c>
      <c r="E22" s="29" t="s">
        <v>25</v>
      </c>
      <c r="F22" s="28" t="s">
        <v>160</v>
      </c>
      <c r="G22" s="28" t="str">
        <f>VLOOKUP($A22,'EBA2017'!$A:$G,7,FALSE)</f>
        <v>One</v>
      </c>
      <c r="H22" s="32">
        <f>VLOOKUP($A22,Calculator!$A:$N,13,FALSE)</f>
        <v>357</v>
      </c>
      <c r="I22" s="1">
        <f t="shared" si="2"/>
        <v>0.89505514051938806</v>
      </c>
      <c r="J22" s="1">
        <f>VLOOKUP($A22,Calculator!$A:$N,14,FALSE)</f>
        <v>21.337112931525208</v>
      </c>
      <c r="K22" s="1">
        <f t="shared" si="0"/>
        <v>0.92048036913219777</v>
      </c>
      <c r="L22" s="1">
        <f t="shared" si="1"/>
        <v>0.90776775482579297</v>
      </c>
      <c r="M22" s="32">
        <f>VLOOKUP(A22,Calculator!A:N,10,FALSE)</f>
        <v>7</v>
      </c>
      <c r="N22" s="1">
        <f>VLOOKUP(A22,Calculator!A:N,11,FALSE)</f>
        <v>5</v>
      </c>
      <c r="O22" s="1">
        <f>VLOOKUP(A22,Calculator!A:N,12,FALSE)</f>
        <v>8</v>
      </c>
      <c r="P22" s="32">
        <f>IF(M22="No Data","No Data",M22/(10-IF(M22&lt;10,VLOOKUP($A22,'Data Gaps'!$A:$N,3,FALSE),0)))</f>
        <v>0.7</v>
      </c>
      <c r="Q22" s="1">
        <f>IF(N22="No Data","No Data",N22/(8-IF(N22&lt;8,VLOOKUP($A22,'Data Gaps'!$A:$N,4,FALSE),0)))</f>
        <v>0.625</v>
      </c>
      <c r="R22" s="1">
        <f>IF(O22="No Data","No Data",O22/(12-IF(O22&lt;12,VLOOKUP($A22,'Data Gaps'!$A:$N,5,FALSE),0)))</f>
        <v>0.66666666666666663</v>
      </c>
      <c r="S22" s="32">
        <f t="shared" si="3"/>
        <v>72.485860537311481</v>
      </c>
    </row>
    <row r="23" spans="1:19" x14ac:dyDescent="0.35">
      <c r="A23" s="1" t="s">
        <v>108</v>
      </c>
      <c r="B23" s="28" t="s">
        <v>109</v>
      </c>
      <c r="C23" s="1" t="s">
        <v>38</v>
      </c>
      <c r="D23" s="1" t="s">
        <v>39</v>
      </c>
      <c r="E23" s="29" t="s">
        <v>40</v>
      </c>
      <c r="F23" s="28" t="s">
        <v>162</v>
      </c>
      <c r="G23" s="28" t="str">
        <f>VLOOKUP($A23,'EBA2017'!$A:$G,7,FALSE)</f>
        <v>One</v>
      </c>
      <c r="H23" s="32">
        <f>VLOOKUP($A23,Calculator!$A:$N,13,FALSE)</f>
        <v>699</v>
      </c>
      <c r="I23" s="1">
        <f t="shared" si="2"/>
        <v>0.28673070081821378</v>
      </c>
      <c r="J23" s="1">
        <f>VLOOKUP($A23,Calculator!$A:$N,14,FALSE)</f>
        <v>15.178536439332804</v>
      </c>
      <c r="K23" s="1">
        <f t="shared" si="0"/>
        <v>0.94343229008335416</v>
      </c>
      <c r="L23" s="1">
        <f t="shared" si="1"/>
        <v>0.61508149545078394</v>
      </c>
      <c r="M23" s="32">
        <f>VLOOKUP(A23,Calculator!A:N,10,FALSE)</f>
        <v>10</v>
      </c>
      <c r="N23" s="1">
        <f>VLOOKUP(A23,Calculator!A:N,11,FALSE)</f>
        <v>5.5</v>
      </c>
      <c r="O23" s="1">
        <f>VLOOKUP(A23,Calculator!A:N,12,FALSE)</f>
        <v>11.5</v>
      </c>
      <c r="P23" s="32">
        <f>IF(M23="No Data","No Data",M23/(10-IF(M23&lt;10,VLOOKUP($A23,'Data Gaps'!$A:$N,3,FALSE),0)))</f>
        <v>1</v>
      </c>
      <c r="Q23" s="1">
        <f>IF(N23="No Data","No Data",N23/(8-IF(N23&lt;8,VLOOKUP($A23,'Data Gaps'!$A:$N,4,FALSE),0)))</f>
        <v>0.6875</v>
      </c>
      <c r="R23" s="1">
        <f>IF(O23="No Data","No Data",O23/(12-IF(O23&lt;12,VLOOKUP($A23,'Data Gaps'!$A:$N,5,FALSE),0)))</f>
        <v>0.95833333333333337</v>
      </c>
      <c r="S23" s="32">
        <f t="shared" si="3"/>
        <v>81.522870719602935</v>
      </c>
    </row>
    <row r="24" spans="1:19" x14ac:dyDescent="0.35">
      <c r="A24" s="1" t="s">
        <v>110</v>
      </c>
      <c r="B24" s="28" t="s">
        <v>111</v>
      </c>
      <c r="C24" s="1" t="s">
        <v>7</v>
      </c>
      <c r="D24" s="1" t="s">
        <v>8</v>
      </c>
      <c r="E24" s="29" t="s">
        <v>25</v>
      </c>
      <c r="F24" s="28" t="s">
        <v>162</v>
      </c>
      <c r="G24" s="28" t="str">
        <f>VLOOKUP($A24,'EBA2017'!$A:$G,7,FALSE)</f>
        <v>One</v>
      </c>
      <c r="H24" s="32">
        <f>VLOOKUP($A24,Calculator!$A:$N,13,FALSE)</f>
        <v>654</v>
      </c>
      <c r="I24" s="1">
        <f t="shared" si="2"/>
        <v>0.36677339025257882</v>
      </c>
      <c r="J24" s="1">
        <f>VLOOKUP($A24,Calculator!$A:$N,14,FALSE)</f>
        <v>23.156341660470691</v>
      </c>
      <c r="K24" s="1">
        <f t="shared" si="0"/>
        <v>0.91370042671664697</v>
      </c>
      <c r="L24" s="1">
        <f t="shared" si="1"/>
        <v>0.6402369084846129</v>
      </c>
      <c r="M24" s="32">
        <f>VLOOKUP(A24,Calculator!A:N,10,FALSE)</f>
        <v>10</v>
      </c>
      <c r="N24" s="1">
        <f>VLOOKUP(A24,Calculator!A:N,11,FALSE)</f>
        <v>5.5</v>
      </c>
      <c r="O24" s="1">
        <f>VLOOKUP(A24,Calculator!A:N,12,FALSE)</f>
        <v>11</v>
      </c>
      <c r="P24" s="32">
        <f>IF(M24="No Data","No Data",M24/(10-IF(M24&lt;10,VLOOKUP($A24,'Data Gaps'!$A:$N,3,FALSE),0)))</f>
        <v>1</v>
      </c>
      <c r="Q24" s="1">
        <f>IF(N24="No Data","No Data",N24/(8-IF(N24&lt;8,VLOOKUP($A24,'Data Gaps'!$A:$N,4,FALSE),0)))</f>
        <v>0.6875</v>
      </c>
      <c r="R24" s="1">
        <f>IF(O24="No Data","No Data",O24/(12-IF(O24&lt;12,VLOOKUP($A24,'Data Gaps'!$A:$N,5,FALSE),0)))</f>
        <v>0.91666666666666663</v>
      </c>
      <c r="S24" s="32">
        <f t="shared" si="3"/>
        <v>81.110089378781979</v>
      </c>
    </row>
    <row r="25" spans="1:19" x14ac:dyDescent="0.35">
      <c r="A25" s="1" t="s">
        <v>112</v>
      </c>
      <c r="B25" s="28" t="s">
        <v>113</v>
      </c>
      <c r="C25" s="1" t="s">
        <v>7</v>
      </c>
      <c r="D25" s="1" t="s">
        <v>8</v>
      </c>
      <c r="E25" s="29" t="s">
        <v>25</v>
      </c>
      <c r="F25" s="28" t="s">
        <v>162</v>
      </c>
      <c r="G25" s="28" t="str">
        <f>VLOOKUP($A25,'EBA2017'!$A:$G,7,FALSE)</f>
        <v>One</v>
      </c>
      <c r="H25" s="32">
        <f>VLOOKUP($A25,Calculator!$A:$N,13,FALSE)</f>
        <v>716</v>
      </c>
      <c r="I25" s="1">
        <f t="shared" si="2"/>
        <v>0.25649235147634253</v>
      </c>
      <c r="J25" s="1">
        <f>VLOOKUP($A25,Calculator!$A:$N,14,FALSE)</f>
        <v>0</v>
      </c>
      <c r="K25" s="1">
        <f t="shared" si="0"/>
        <v>1</v>
      </c>
      <c r="L25" s="1">
        <f t="shared" si="1"/>
        <v>0.62824617573817121</v>
      </c>
      <c r="M25" s="32">
        <f>VLOOKUP(A25,Calculator!A:N,10,FALSE)</f>
        <v>9</v>
      </c>
      <c r="N25" s="1">
        <f>VLOOKUP(A25,Calculator!A:N,11,FALSE)</f>
        <v>7</v>
      </c>
      <c r="O25" s="1">
        <f>VLOOKUP(A25,Calculator!A:N,12,FALSE)</f>
        <v>4</v>
      </c>
      <c r="P25" s="32">
        <f>IF(M25="No Data","No Data",M25/(10-IF(M25&lt;10,VLOOKUP($A25,'Data Gaps'!$A:$N,3,FALSE),0)))</f>
        <v>0.9</v>
      </c>
      <c r="Q25" s="1">
        <f>IF(N25="No Data","No Data",N25/(8-IF(N25&lt;8,VLOOKUP($A25,'Data Gaps'!$A:$N,4,FALSE),0)))</f>
        <v>0.875</v>
      </c>
      <c r="R25" s="1">
        <f>IF(O25="No Data","No Data",O25/(12-IF(O25&lt;12,VLOOKUP($A25,'Data Gaps'!$A:$N,5,FALSE),0)))</f>
        <v>0.33333333333333331</v>
      </c>
      <c r="S25" s="32">
        <f t="shared" si="3"/>
        <v>68.414487726787627</v>
      </c>
    </row>
    <row r="26" spans="1:19" x14ac:dyDescent="0.35">
      <c r="A26" s="1" t="s">
        <v>114</v>
      </c>
      <c r="B26" s="28" t="s">
        <v>115</v>
      </c>
      <c r="C26" s="1" t="s">
        <v>16</v>
      </c>
      <c r="D26" s="1" t="s">
        <v>17</v>
      </c>
      <c r="E26" s="29" t="s">
        <v>18</v>
      </c>
      <c r="F26" s="28" t="s">
        <v>160</v>
      </c>
      <c r="G26" s="28" t="str">
        <f>VLOOKUP($A26,'EBA2017'!$A:$G,7,FALSE)</f>
        <v>One</v>
      </c>
      <c r="H26" s="32" t="str">
        <f>VLOOKUP($A26,Calculator!$A:$N,13,FALSE)</f>
        <v>No practice</v>
      </c>
      <c r="I26" s="1">
        <f t="shared" si="2"/>
        <v>0</v>
      </c>
      <c r="J26" s="1" t="str">
        <f>VLOOKUP($A26,Calculator!$A:$N,14,FALSE)</f>
        <v>No practice</v>
      </c>
      <c r="K26" s="1">
        <f t="shared" si="0"/>
        <v>0</v>
      </c>
      <c r="L26" s="1">
        <f t="shared" si="1"/>
        <v>0</v>
      </c>
      <c r="M26" s="32">
        <f>VLOOKUP(A26,Calculator!A:N,10,FALSE)</f>
        <v>6</v>
      </c>
      <c r="N26" s="1">
        <f>VLOOKUP(A26,Calculator!A:N,11,FALSE)</f>
        <v>1</v>
      </c>
      <c r="O26" s="1">
        <f>VLOOKUP(A26,Calculator!A:N,12,FALSE)</f>
        <v>1</v>
      </c>
      <c r="P26" s="32">
        <f>IF(M26="No Data","No Data",M26/(10-IF(M26&lt;10,VLOOKUP($A26,'Data Gaps'!$A:$N,3,FALSE),0)))</f>
        <v>0.6</v>
      </c>
      <c r="Q26" s="1">
        <f>IF(N26="No Data","No Data",N26/(8-IF(N26&lt;8,VLOOKUP($A26,'Data Gaps'!$A:$N,4,FALSE),0)))</f>
        <v>0.125</v>
      </c>
      <c r="R26" s="1">
        <f>IF(O26="No Data","No Data",O26/(12-IF(O26&lt;12,VLOOKUP($A26,'Data Gaps'!$A:$N,5,FALSE),0)))</f>
        <v>8.3333333333333329E-2</v>
      </c>
      <c r="S26" s="32">
        <f t="shared" si="3"/>
        <v>20.208333333333332</v>
      </c>
    </row>
    <row r="27" spans="1:19" x14ac:dyDescent="0.35">
      <c r="A27" s="1" t="s">
        <v>116</v>
      </c>
      <c r="B27" s="28" t="s">
        <v>117</v>
      </c>
      <c r="C27" s="1" t="s">
        <v>16</v>
      </c>
      <c r="D27" s="1" t="s">
        <v>17</v>
      </c>
      <c r="E27" s="29" t="s">
        <v>18</v>
      </c>
      <c r="F27" s="28" t="s">
        <v>162</v>
      </c>
      <c r="G27" s="28" t="str">
        <f>VLOOKUP($A27,'EBA2017'!$A:$G,7,FALSE)</f>
        <v>One</v>
      </c>
      <c r="H27" s="32">
        <f>VLOOKUP($A27,Calculator!$A:$N,13,FALSE)</f>
        <v>561</v>
      </c>
      <c r="I27" s="1">
        <f t="shared" si="2"/>
        <v>0.53219494841693327</v>
      </c>
      <c r="J27" s="1">
        <f>VLOOKUP($A27,Calculator!$A:$N,14,FALSE)</f>
        <v>708.47686524484971</v>
      </c>
      <c r="K27" s="1">
        <f t="shared" si="0"/>
        <v>0</v>
      </c>
      <c r="L27" s="1">
        <f t="shared" si="1"/>
        <v>0.26609747420846663</v>
      </c>
      <c r="M27" s="32">
        <f>VLOOKUP(A27,Calculator!A:N,10,FALSE)</f>
        <v>7</v>
      </c>
      <c r="N27" s="1">
        <f>VLOOKUP(A27,Calculator!A:N,11,FALSE)</f>
        <v>5.5</v>
      </c>
      <c r="O27" s="1">
        <f>VLOOKUP(A27,Calculator!A:N,12,FALSE)</f>
        <v>5.5</v>
      </c>
      <c r="P27" s="32">
        <f>IF(M27="No Data","No Data",M27/(10-IF(M27&lt;10,VLOOKUP($A27,'Data Gaps'!$A:$N,3,FALSE),0)))</f>
        <v>0.7</v>
      </c>
      <c r="Q27" s="1">
        <f>IF(N27="No Data","No Data",N27/(8-IF(N27&lt;8,VLOOKUP($A27,'Data Gaps'!$A:$N,4,FALSE),0)))</f>
        <v>0.6875</v>
      </c>
      <c r="R27" s="1">
        <f>IF(O27="No Data","No Data",O27/(12-IF(O27&lt;12,VLOOKUP($A27,'Data Gaps'!$A:$N,5,FALSE),0)))</f>
        <v>0.45833333333333331</v>
      </c>
      <c r="S27" s="32">
        <f t="shared" si="3"/>
        <v>52.798270188545004</v>
      </c>
    </row>
    <row r="28" spans="1:19" x14ac:dyDescent="0.35">
      <c r="A28" s="1" t="s">
        <v>118</v>
      </c>
      <c r="B28" s="28" t="s">
        <v>119</v>
      </c>
      <c r="C28" s="1" t="s">
        <v>7</v>
      </c>
      <c r="D28" s="1" t="s">
        <v>8</v>
      </c>
      <c r="E28" s="29" t="s">
        <v>25</v>
      </c>
      <c r="F28" s="28" t="s">
        <v>162</v>
      </c>
      <c r="G28" s="28" t="str">
        <f>VLOOKUP($A28,'EBA2017'!$A:$G,7,FALSE)</f>
        <v>One</v>
      </c>
      <c r="H28" s="32">
        <f>VLOOKUP($A28,Calculator!$A:$N,13,FALSE)</f>
        <v>604</v>
      </c>
      <c r="I28" s="1">
        <f t="shared" si="2"/>
        <v>0.45570971184631776</v>
      </c>
      <c r="J28" s="1">
        <f>VLOOKUP($A28,Calculator!$A:$N,14,FALSE)</f>
        <v>0.4267664067557228</v>
      </c>
      <c r="K28" s="1">
        <f t="shared" si="0"/>
        <v>0.99840951738686934</v>
      </c>
      <c r="L28" s="1">
        <f t="shared" si="1"/>
        <v>0.72705961461659352</v>
      </c>
      <c r="M28" s="32">
        <f>VLOOKUP(A28,Calculator!A:N,10,FALSE)</f>
        <v>8</v>
      </c>
      <c r="N28" s="1">
        <f>VLOOKUP(A28,Calculator!A:N,11,FALSE)</f>
        <v>5</v>
      </c>
      <c r="O28" s="1">
        <f>VLOOKUP(A28,Calculator!A:N,12,FALSE)</f>
        <v>7</v>
      </c>
      <c r="P28" s="32">
        <f>IF(M28="No Data","No Data",M28/(10-IF(M28&lt;10,VLOOKUP($A28,'Data Gaps'!$A:$N,3,FALSE),0)))</f>
        <v>0.8</v>
      </c>
      <c r="Q28" s="1">
        <f>IF(N28="No Data","No Data",N28/(8-IF(N28&lt;8,VLOOKUP($A28,'Data Gaps'!$A:$N,4,FALSE),0)))</f>
        <v>0.625</v>
      </c>
      <c r="R28" s="1">
        <f>IF(O28="No Data","No Data",O28/(12-IF(O28&lt;12,VLOOKUP($A28,'Data Gaps'!$A:$N,5,FALSE),0)))</f>
        <v>0.58333333333333337</v>
      </c>
      <c r="S28" s="32">
        <f t="shared" si="3"/>
        <v>68.384823698748178</v>
      </c>
    </row>
    <row r="29" spans="1:19" x14ac:dyDescent="0.35">
      <c r="A29" s="1" t="s">
        <v>126</v>
      </c>
      <c r="B29" s="28" t="s">
        <v>127</v>
      </c>
      <c r="C29" s="1" t="s">
        <v>7</v>
      </c>
      <c r="D29" s="1" t="s">
        <v>8</v>
      </c>
      <c r="E29" s="29" t="s">
        <v>9</v>
      </c>
      <c r="F29" s="28" t="s">
        <v>159</v>
      </c>
      <c r="G29" s="28" t="str">
        <f>VLOOKUP($A29,'EBA2017'!$A:$G,7,FALSE)</f>
        <v>One</v>
      </c>
      <c r="H29" s="32" t="str">
        <f>VLOOKUP($A29,Calculator!$A:$N,13,FALSE)</f>
        <v>No practice</v>
      </c>
      <c r="I29" s="1">
        <f t="shared" si="2"/>
        <v>0</v>
      </c>
      <c r="J29" s="1" t="str">
        <f>VLOOKUP($A29,Calculator!$A:$N,14,FALSE)</f>
        <v>No practice</v>
      </c>
      <c r="K29" s="1">
        <f t="shared" si="0"/>
        <v>0</v>
      </c>
      <c r="L29" s="1">
        <f t="shared" si="1"/>
        <v>0</v>
      </c>
      <c r="M29" s="32">
        <f>VLOOKUP(A29,Calculator!A:N,10,FALSE)</f>
        <v>8</v>
      </c>
      <c r="N29" s="1">
        <f>VLOOKUP(A29,Calculator!A:N,11,FALSE)</f>
        <v>4.5</v>
      </c>
      <c r="O29" s="1">
        <f>VLOOKUP(A29,Calculator!A:N,12,FALSE)</f>
        <v>4</v>
      </c>
      <c r="P29" s="32">
        <f>IF(M29="No Data","No Data",M29/(10-IF(M29&lt;10,VLOOKUP($A29,'Data Gaps'!$A:$N,3,FALSE),0)))</f>
        <v>0.8</v>
      </c>
      <c r="Q29" s="1">
        <f>IF(N29="No Data","No Data",N29/(8-IF(N29&lt;8,VLOOKUP($A29,'Data Gaps'!$A:$N,4,FALSE),0)))</f>
        <v>0.5625</v>
      </c>
      <c r="R29" s="1">
        <f>IF(O29="No Data","No Data",O29/(12-IF(O29&lt;12,VLOOKUP($A29,'Data Gaps'!$A:$N,5,FALSE),0)))</f>
        <v>0.33333333333333331</v>
      </c>
      <c r="S29" s="32">
        <f t="shared" si="3"/>
        <v>42.395833333333336</v>
      </c>
    </row>
    <row r="30" spans="1:19" x14ac:dyDescent="0.35">
      <c r="A30" s="1" t="s">
        <v>132</v>
      </c>
      <c r="B30" s="28" t="s">
        <v>133</v>
      </c>
      <c r="C30" s="1" t="s">
        <v>7</v>
      </c>
      <c r="D30" s="1" t="s">
        <v>8</v>
      </c>
      <c r="E30" s="28" t="s">
        <v>25</v>
      </c>
      <c r="F30" s="28" t="s">
        <v>159</v>
      </c>
      <c r="G30" s="28" t="str">
        <f>VLOOKUP($A30,'EBA2017'!$A:$G,7,FALSE)</f>
        <v>One</v>
      </c>
      <c r="H30" s="32">
        <f>VLOOKUP($A30,Calculator!$A:$N,13,FALSE)</f>
        <v>646</v>
      </c>
      <c r="I30" s="1">
        <f t="shared" si="2"/>
        <v>0.38100320170757707</v>
      </c>
      <c r="J30" s="1">
        <f>VLOOKUP($A30,Calculator!$A:$N,14,FALSE)</f>
        <v>28.821370184173094</v>
      </c>
      <c r="K30" s="1">
        <f t="shared" si="0"/>
        <v>0.89258787140018669</v>
      </c>
      <c r="L30" s="1">
        <f t="shared" si="1"/>
        <v>0.63679553655388188</v>
      </c>
      <c r="M30" s="32">
        <f>VLOOKUP(A30,Calculator!A:N,10,FALSE)</f>
        <v>6</v>
      </c>
      <c r="N30" s="1">
        <f>VLOOKUP(A30,Calculator!A:N,11,FALSE)</f>
        <v>6.5</v>
      </c>
      <c r="O30" s="1">
        <f>VLOOKUP(A30,Calculator!A:N,12,FALSE)</f>
        <v>10</v>
      </c>
      <c r="P30" s="32">
        <f>IF(M30="No Data","No Data",M30/(10-IF(M30&lt;10,VLOOKUP($A30,'Data Gaps'!$A:$N,3,FALSE),0)))</f>
        <v>0.6</v>
      </c>
      <c r="Q30" s="1">
        <f>IF(N30="No Data","No Data",N30/(8-IF(N30&lt;8,VLOOKUP($A30,'Data Gaps'!$A:$N,4,FALSE),0)))</f>
        <v>0.8125</v>
      </c>
      <c r="R30" s="1">
        <f>IF(O30="No Data","No Data",O30/(12-IF(O30&lt;12,VLOOKUP($A30,'Data Gaps'!$A:$N,5,FALSE),0)))</f>
        <v>0.83333333333333337</v>
      </c>
      <c r="S30" s="32">
        <f t="shared" si="3"/>
        <v>72.06572174718039</v>
      </c>
    </row>
    <row r="31" spans="1:19" x14ac:dyDescent="0.35">
      <c r="A31" s="1" t="s">
        <v>136</v>
      </c>
      <c r="B31" s="28" t="s">
        <v>137</v>
      </c>
      <c r="C31" s="1" t="s">
        <v>7</v>
      </c>
      <c r="D31" s="1" t="s">
        <v>8</v>
      </c>
      <c r="E31" s="28" t="s">
        <v>9</v>
      </c>
      <c r="F31" s="28" t="s">
        <v>162</v>
      </c>
      <c r="G31" s="28" t="str">
        <f>VLOOKUP($A31,'EBA2017'!$A:$G,7,FALSE)</f>
        <v>One</v>
      </c>
      <c r="H31" s="32">
        <f>VLOOKUP($A31,Calculator!$A:$N,13,FALSE)</f>
        <v>714</v>
      </c>
      <c r="I31" s="1">
        <f t="shared" si="2"/>
        <v>0.26004980434009212</v>
      </c>
      <c r="J31" s="1">
        <f>VLOOKUP($A31,Calculator!$A:$N,14,FALSE)</f>
        <v>25.417118954576264</v>
      </c>
      <c r="K31" s="1">
        <f t="shared" si="0"/>
        <v>0.90527491120859682</v>
      </c>
      <c r="L31" s="1">
        <f t="shared" si="1"/>
        <v>0.5826623577743445</v>
      </c>
      <c r="M31" s="32">
        <f>VLOOKUP(A31,Calculator!A:N,10,FALSE)</f>
        <v>8</v>
      </c>
      <c r="N31" s="1">
        <f>VLOOKUP(A31,Calculator!A:N,11,FALSE)</f>
        <v>5</v>
      </c>
      <c r="O31" s="1">
        <f>VLOOKUP(A31,Calculator!A:N,12,FALSE)</f>
        <v>3</v>
      </c>
      <c r="P31" s="32">
        <f>IF(M31="No Data","No Data",M31/(10-IF(M31&lt;10,VLOOKUP($A31,'Data Gaps'!$A:$N,3,FALSE),0)))</f>
        <v>0.8</v>
      </c>
      <c r="Q31" s="1">
        <f>IF(N31="No Data","No Data",N31/(8-IF(N31&lt;8,VLOOKUP($A31,'Data Gaps'!$A:$N,4,FALSE),0)))</f>
        <v>0.625</v>
      </c>
      <c r="R31" s="1">
        <f>IF(O31="No Data","No Data",O31/(12-IF(O31&lt;12,VLOOKUP($A31,'Data Gaps'!$A:$N,5,FALSE),0)))</f>
        <v>0.25</v>
      </c>
      <c r="S31" s="32">
        <f t="shared" si="3"/>
        <v>56.441558944358619</v>
      </c>
    </row>
    <row r="32" spans="1:19" x14ac:dyDescent="0.35">
      <c r="A32" s="1" t="s">
        <v>28</v>
      </c>
      <c r="B32" s="28" t="s">
        <v>29</v>
      </c>
      <c r="C32" s="1" t="s">
        <v>16</v>
      </c>
      <c r="D32" s="1" t="s">
        <v>17</v>
      </c>
      <c r="E32" s="29" t="s">
        <v>18</v>
      </c>
      <c r="F32" s="28" t="s">
        <v>160</v>
      </c>
      <c r="G32" s="28" t="str">
        <f>VLOOKUP($A32,'EBA2017'!$A:$G,7,FALSE)</f>
        <v>Two</v>
      </c>
      <c r="H32" s="32" t="str">
        <f>VLOOKUP($A32,Calculator!$A:$N,13,FALSE)</f>
        <v>No practice</v>
      </c>
      <c r="I32" s="1">
        <f t="shared" si="2"/>
        <v>0</v>
      </c>
      <c r="J32" s="1" t="str">
        <f>VLOOKUP($A32,Calculator!$A:$N,14,FALSE)</f>
        <v>No practice</v>
      </c>
      <c r="K32" s="1">
        <f t="shared" si="0"/>
        <v>0</v>
      </c>
      <c r="L32" s="1">
        <f t="shared" si="1"/>
        <v>0</v>
      </c>
      <c r="M32" s="32">
        <f>VLOOKUP(A32,Calculator!A:N,10,FALSE)</f>
        <v>9</v>
      </c>
      <c r="N32" s="1">
        <f>VLOOKUP(A32,Calculator!A:N,11,FALSE)</f>
        <v>3.5</v>
      </c>
      <c r="O32" s="1">
        <f>VLOOKUP(A32,Calculator!A:N,12,FALSE)</f>
        <v>8</v>
      </c>
      <c r="P32" s="32">
        <f>IF(M32="No Data","No Data",M32/(10-IF(M32&lt;10,VLOOKUP($A32,'Data Gaps'!$A:$N,3,FALSE),0)))</f>
        <v>0.9</v>
      </c>
      <c r="Q32" s="1">
        <f>IF(N32="No Data","No Data",N32/(8-IF(N32&lt;8,VLOOKUP($A32,'Data Gaps'!$A:$N,4,FALSE),0)))</f>
        <v>0.4375</v>
      </c>
      <c r="R32" s="1">
        <f>IF(O32="No Data","No Data",O32/(12-IF(O32&lt;12,VLOOKUP($A32,'Data Gaps'!$A:$N,5,FALSE),0)))</f>
        <v>0.66666666666666663</v>
      </c>
      <c r="S32" s="32">
        <f t="shared" si="3"/>
        <v>50.104166666666657</v>
      </c>
    </row>
    <row r="33" spans="1:19" x14ac:dyDescent="0.35">
      <c r="A33" s="1" t="s">
        <v>14</v>
      </c>
      <c r="B33" s="28" t="s">
        <v>15</v>
      </c>
      <c r="C33" s="1" t="s">
        <v>16</v>
      </c>
      <c r="D33" s="1" t="s">
        <v>17</v>
      </c>
      <c r="E33" s="29" t="s">
        <v>18</v>
      </c>
      <c r="F33" s="28" t="s">
        <v>159</v>
      </c>
      <c r="G33" s="28" t="str">
        <f>VLOOKUP($A33,'EBA2017'!$A:$G,7,FALSE)</f>
        <v>Two</v>
      </c>
      <c r="H33" s="32" t="str">
        <f>VLOOKUP($A33,Calculator!$A:$N,13,FALSE)</f>
        <v>No practice</v>
      </c>
      <c r="I33" s="1">
        <f t="shared" si="2"/>
        <v>0</v>
      </c>
      <c r="J33" s="1" t="str">
        <f>VLOOKUP($A33,Calculator!$A:$N,14,FALSE)</f>
        <v>No practice</v>
      </c>
      <c r="K33" s="1">
        <f t="shared" si="0"/>
        <v>0</v>
      </c>
      <c r="L33" s="1">
        <f t="shared" si="1"/>
        <v>0</v>
      </c>
      <c r="M33" s="32">
        <f>VLOOKUP(A33,Calculator!A:N,10,FALSE)</f>
        <v>5</v>
      </c>
      <c r="N33" s="1">
        <f>VLOOKUP(A33,Calculator!A:N,11,FALSE)</f>
        <v>4.5</v>
      </c>
      <c r="O33" s="1">
        <f>VLOOKUP(A33,Calculator!A:N,12,FALSE)</f>
        <v>3</v>
      </c>
      <c r="P33" s="32">
        <f>IF(M33="No Data","No Data",M33/(10-IF(M33&lt;10,VLOOKUP($A33,'Data Gaps'!$A:$N,3,FALSE),0)))</f>
        <v>0.5</v>
      </c>
      <c r="Q33" s="1">
        <f>IF(N33="No Data","No Data",N33/(8-IF(N33&lt;8,VLOOKUP($A33,'Data Gaps'!$A:$N,4,FALSE),0)))</f>
        <v>0.5625</v>
      </c>
      <c r="R33" s="1">
        <f>IF(O33="No Data","No Data",O33/(12-IF(O33&lt;12,VLOOKUP($A33,'Data Gaps'!$A:$N,5,FALSE),0)))</f>
        <v>0.25</v>
      </c>
      <c r="S33" s="32">
        <f t="shared" si="3"/>
        <v>32.8125</v>
      </c>
    </row>
    <row r="34" spans="1:19" x14ac:dyDescent="0.35">
      <c r="A34" s="1" t="s">
        <v>26</v>
      </c>
      <c r="B34" s="28" t="s">
        <v>27</v>
      </c>
      <c r="C34" s="1" t="s">
        <v>16</v>
      </c>
      <c r="D34" s="1" t="s">
        <v>17</v>
      </c>
      <c r="E34" s="29" t="s">
        <v>18</v>
      </c>
      <c r="F34" s="28" t="s">
        <v>159</v>
      </c>
      <c r="G34" s="28" t="str">
        <f>VLOOKUP($A34,'EBA2017'!$A:$G,7,FALSE)</f>
        <v>Two</v>
      </c>
      <c r="H34" s="32" t="str">
        <f>VLOOKUP($A34,Calculator!$A:$N,13,FALSE)</f>
        <v>No practice</v>
      </c>
      <c r="I34" s="1">
        <f t="shared" si="2"/>
        <v>0</v>
      </c>
      <c r="J34" s="1" t="str">
        <f>VLOOKUP($A34,Calculator!$A:$N,14,FALSE)</f>
        <v>No practice</v>
      </c>
      <c r="K34" s="1">
        <f t="shared" si="0"/>
        <v>0</v>
      </c>
      <c r="L34" s="1">
        <f t="shared" si="1"/>
        <v>0</v>
      </c>
      <c r="M34" s="32">
        <f>VLOOKUP(A34,Calculator!A:N,10,FALSE)</f>
        <v>2</v>
      </c>
      <c r="N34" s="1">
        <f>VLOOKUP(A34,Calculator!A:N,11,FALSE)</f>
        <v>4</v>
      </c>
      <c r="O34" s="1">
        <f>VLOOKUP(A34,Calculator!A:N,12,FALSE)</f>
        <v>5.5</v>
      </c>
      <c r="P34" s="32">
        <f>IF(M34="No Data","No Data",M34/(10-IF(M34&lt;10,VLOOKUP($A34,'Data Gaps'!$A:$N,3,FALSE),0)))</f>
        <v>0.2</v>
      </c>
      <c r="Q34" s="1">
        <f>IF(N34="No Data","No Data",N34/(8-IF(N34&lt;8,VLOOKUP($A34,'Data Gaps'!$A:$N,4,FALSE),0)))</f>
        <v>0.5</v>
      </c>
      <c r="R34" s="1">
        <f>IF(O34="No Data","No Data",O34/(12-IF(O34&lt;12,VLOOKUP($A34,'Data Gaps'!$A:$N,5,FALSE),0)))</f>
        <v>0.45833333333333331</v>
      </c>
      <c r="S34" s="32">
        <f t="shared" si="3"/>
        <v>28.958333333333329</v>
      </c>
    </row>
    <row r="35" spans="1:19" x14ac:dyDescent="0.35">
      <c r="A35" s="1" t="s">
        <v>10</v>
      </c>
      <c r="B35" s="28" t="s">
        <v>11</v>
      </c>
      <c r="C35" s="1" t="s">
        <v>12</v>
      </c>
      <c r="D35" s="1" t="s">
        <v>13</v>
      </c>
      <c r="E35" s="29" t="s">
        <v>9</v>
      </c>
      <c r="F35" s="28" t="s">
        <v>159</v>
      </c>
      <c r="G35" s="28" t="str">
        <f>VLOOKUP($A35,'EBA2017'!$A:$G,7,FALSE)</f>
        <v>Two</v>
      </c>
      <c r="H35" s="32" t="str">
        <f>VLOOKUP($A35,Calculator!$A:$N,13,FALSE)</f>
        <v>No practice</v>
      </c>
      <c r="I35" s="1">
        <f t="shared" si="2"/>
        <v>0</v>
      </c>
      <c r="J35" s="1" t="str">
        <f>VLOOKUP($A35,Calculator!$A:$N,14,FALSE)</f>
        <v>No practice</v>
      </c>
      <c r="K35" s="1">
        <f t="shared" si="0"/>
        <v>0</v>
      </c>
      <c r="L35" s="1">
        <f t="shared" si="1"/>
        <v>0</v>
      </c>
      <c r="M35" s="32">
        <f>VLOOKUP(A35,Calculator!A:N,10,FALSE)</f>
        <v>6</v>
      </c>
      <c r="N35" s="1">
        <f>VLOOKUP(A35,Calculator!A:N,11,FALSE)</f>
        <v>5.5</v>
      </c>
      <c r="O35" s="1">
        <f>VLOOKUP(A35,Calculator!A:N,12,FALSE)</f>
        <v>1</v>
      </c>
      <c r="P35" s="32">
        <f>IF(M35="No Data","No Data",M35/(10-IF(M35&lt;10,VLOOKUP($A35,'Data Gaps'!$A:$N,3,FALSE),0)))</f>
        <v>0.6</v>
      </c>
      <c r="Q35" s="1">
        <f>IF(N35="No Data","No Data",N35/(8-IF(N35&lt;8,VLOOKUP($A35,'Data Gaps'!$A:$N,4,FALSE),0)))</f>
        <v>0.6875</v>
      </c>
      <c r="R35" s="1">
        <f>IF(O35="No Data","No Data",O35/(12-IF(O35&lt;12,VLOOKUP($A35,'Data Gaps'!$A:$N,5,FALSE),0)))</f>
        <v>8.3333333333333329E-2</v>
      </c>
      <c r="S35" s="32">
        <f t="shared" si="3"/>
        <v>34.270833333333336</v>
      </c>
    </row>
    <row r="36" spans="1:19" x14ac:dyDescent="0.35">
      <c r="A36" s="1" t="s">
        <v>19</v>
      </c>
      <c r="B36" s="28" t="s">
        <v>20</v>
      </c>
      <c r="C36" s="1" t="s">
        <v>21</v>
      </c>
      <c r="D36" s="1" t="s">
        <v>22</v>
      </c>
      <c r="E36" s="29" t="s">
        <v>9</v>
      </c>
      <c r="F36" s="28" t="s">
        <v>162</v>
      </c>
      <c r="G36" s="28" t="str">
        <f>VLOOKUP($A36,'EBA2017'!$A:$G,7,FALSE)</f>
        <v>Two</v>
      </c>
      <c r="H36" s="32">
        <f>VLOOKUP($A36,Calculator!$A:$N,13,FALSE)</f>
        <v>517</v>
      </c>
      <c r="I36" s="1">
        <f t="shared" si="2"/>
        <v>0.36158603128410299</v>
      </c>
      <c r="J36" s="1">
        <f>VLOOKUP($A36,Calculator!$A:$N,14,FALSE)</f>
        <v>24.452794304084573</v>
      </c>
      <c r="K36" s="1">
        <f t="shared" si="0"/>
        <v>0.97478350105058276</v>
      </c>
      <c r="L36" s="1">
        <f t="shared" si="1"/>
        <v>0.6681847661673429</v>
      </c>
      <c r="M36" s="32">
        <f>VLOOKUP(A36,Calculator!A:N,10,FALSE)</f>
        <v>7</v>
      </c>
      <c r="N36" s="1">
        <f>VLOOKUP(A36,Calculator!A:N,11,FALSE)</f>
        <v>5</v>
      </c>
      <c r="O36" s="1">
        <f>VLOOKUP(A36,Calculator!A:N,12,FALSE)</f>
        <v>7</v>
      </c>
      <c r="P36" s="32">
        <f>IF(M36="No Data","No Data",M36/(10-IF(M36&lt;10,VLOOKUP($A36,'Data Gaps'!$A:$N,3,FALSE),0)))</f>
        <v>0.7</v>
      </c>
      <c r="Q36" s="1">
        <f>IF(N36="No Data","No Data",N36/(8-IF(N36&lt;8,VLOOKUP($A36,'Data Gaps'!$A:$N,4,FALSE),0)))</f>
        <v>0.625</v>
      </c>
      <c r="R36" s="1">
        <f>IF(O36="No Data","No Data",O36/(12-IF(O36&lt;12,VLOOKUP($A36,'Data Gaps'!$A:$N,5,FALSE),0)))</f>
        <v>0.58333333333333337</v>
      </c>
      <c r="S36" s="32">
        <f t="shared" si="3"/>
        <v>64.412952487516904</v>
      </c>
    </row>
    <row r="37" spans="1:19" x14ac:dyDescent="0.35">
      <c r="A37" s="1" t="s">
        <v>43</v>
      </c>
      <c r="B37" s="28" t="s">
        <v>44</v>
      </c>
      <c r="C37" s="1" t="s">
        <v>16</v>
      </c>
      <c r="D37" s="1" t="s">
        <v>17</v>
      </c>
      <c r="E37" s="29" t="s">
        <v>9</v>
      </c>
      <c r="F37" s="28" t="s">
        <v>160</v>
      </c>
      <c r="G37" s="28" t="str">
        <f>VLOOKUP($A37,'EBA2017'!$A:$G,7,FALSE)</f>
        <v>Two</v>
      </c>
      <c r="H37" s="32">
        <f>VLOOKUP($A37,Calculator!$A:$N,13,FALSE)</f>
        <v>368</v>
      </c>
      <c r="I37" s="1">
        <f t="shared" si="2"/>
        <v>0.6325936704256091</v>
      </c>
      <c r="J37" s="1">
        <f>VLOOKUP($A37,Calculator!$A:$N,14,FALSE)</f>
        <v>137.15734418444049</v>
      </c>
      <c r="K37" s="1">
        <f t="shared" si="0"/>
        <v>0.8585589858352477</v>
      </c>
      <c r="L37" s="1">
        <f t="shared" si="1"/>
        <v>0.7455763281304284</v>
      </c>
      <c r="M37" s="32">
        <f>VLOOKUP(A37,Calculator!A:N,10,FALSE)</f>
        <v>6</v>
      </c>
      <c r="N37" s="1">
        <f>VLOOKUP(A37,Calculator!A:N,11,FALSE)</f>
        <v>6.5</v>
      </c>
      <c r="O37" s="1">
        <f>VLOOKUP(A37,Calculator!A:N,12,FALSE)</f>
        <v>3</v>
      </c>
      <c r="P37" s="32">
        <f>IF(M37="No Data","No Data",M37/(10-IF(M37&lt;10,VLOOKUP($A37,'Data Gaps'!$A:$N,3,FALSE),0)))</f>
        <v>0.6</v>
      </c>
      <c r="Q37" s="1">
        <f>IF(N37="No Data","No Data",N37/(8-IF(N37&lt;8,VLOOKUP($A37,'Data Gaps'!$A:$N,4,FALSE),0)))</f>
        <v>0.8125</v>
      </c>
      <c r="R37" s="1">
        <f>IF(O37="No Data","No Data",O37/(12-IF(O37&lt;12,VLOOKUP($A37,'Data Gaps'!$A:$N,5,FALSE),0)))</f>
        <v>0.25</v>
      </c>
      <c r="S37" s="32">
        <f t="shared" si="3"/>
        <v>60.201908203260714</v>
      </c>
    </row>
    <row r="38" spans="1:19" x14ac:dyDescent="0.35">
      <c r="A38" s="1" t="s">
        <v>34</v>
      </c>
      <c r="B38" s="28" t="s">
        <v>35</v>
      </c>
      <c r="C38" s="1" t="s">
        <v>16</v>
      </c>
      <c r="D38" s="1" t="s">
        <v>17</v>
      </c>
      <c r="E38" s="29" t="s">
        <v>9</v>
      </c>
      <c r="F38" s="28" t="s">
        <v>160</v>
      </c>
      <c r="G38" s="28" t="str">
        <f>VLOOKUP($A38,'EBA2017'!$A:$G,7,FALSE)</f>
        <v>Two</v>
      </c>
      <c r="H38" s="32" t="str">
        <f>VLOOKUP($A38,Calculator!$A:$N,13,FALSE)</f>
        <v>No practice</v>
      </c>
      <c r="I38" s="1">
        <f t="shared" si="2"/>
        <v>0</v>
      </c>
      <c r="J38" s="1" t="str">
        <f>VLOOKUP($A38,Calculator!$A:$N,14,FALSE)</f>
        <v>No practice</v>
      </c>
      <c r="K38" s="1">
        <f t="shared" si="0"/>
        <v>0</v>
      </c>
      <c r="L38" s="1">
        <f t="shared" si="1"/>
        <v>0</v>
      </c>
      <c r="M38" s="32">
        <f>VLOOKUP(A38,Calculator!A:N,10,FALSE)</f>
        <v>3</v>
      </c>
      <c r="N38" s="1">
        <f>VLOOKUP(A38,Calculator!A:N,11,FALSE)</f>
        <v>3.5</v>
      </c>
      <c r="O38" s="1">
        <f>VLOOKUP(A38,Calculator!A:N,12,FALSE)</f>
        <v>3</v>
      </c>
      <c r="P38" s="32">
        <f>IF(M38="No Data","No Data",M38/(10-IF(M38&lt;10,VLOOKUP($A38,'Data Gaps'!$A:$N,3,FALSE),0)))</f>
        <v>0.3</v>
      </c>
      <c r="Q38" s="1">
        <f>IF(N38="No Data","No Data",N38/(8-IF(N38&lt;8,VLOOKUP($A38,'Data Gaps'!$A:$N,4,FALSE),0)))</f>
        <v>0.4375</v>
      </c>
      <c r="R38" s="1">
        <f>IF(O38="No Data","No Data",O38/(12-IF(O38&lt;12,VLOOKUP($A38,'Data Gaps'!$A:$N,5,FALSE),0)))</f>
        <v>0.25</v>
      </c>
      <c r="S38" s="32">
        <f t="shared" si="3"/>
        <v>24.6875</v>
      </c>
    </row>
    <row r="39" spans="1:19" x14ac:dyDescent="0.35">
      <c r="A39" s="1" t="s">
        <v>41</v>
      </c>
      <c r="B39" s="28" t="s">
        <v>42</v>
      </c>
      <c r="C39" s="1" t="s">
        <v>21</v>
      </c>
      <c r="D39" s="1" t="s">
        <v>22</v>
      </c>
      <c r="E39" s="29" t="s">
        <v>25</v>
      </c>
      <c r="F39" s="28" t="s">
        <v>160</v>
      </c>
      <c r="G39" s="28" t="str">
        <f>VLOOKUP($A39,'EBA2017'!$A:$G,7,FALSE)</f>
        <v>Two</v>
      </c>
      <c r="H39" s="32">
        <f>VLOOKUP($A39,Calculator!$A:$N,13,FALSE)</f>
        <v>591</v>
      </c>
      <c r="I39" s="1">
        <f t="shared" si="2"/>
        <v>0.22699163332120734</v>
      </c>
      <c r="J39" s="1">
        <f>VLOOKUP($A39,Calculator!$A:$N,14,FALSE)</f>
        <v>53.413718456254543</v>
      </c>
      <c r="K39" s="1">
        <f t="shared" ref="K39:K68" si="4">IF(G39="One",IF(J39="No practice",0,IF(J39&gt;$J$2,0,($J$2-J39)/($J$2-$J$3))),IF(J39="No practice",0,IF(J39&gt;$J$4,0,($J$4-J39)/($J$4-$J$5))))</f>
        <v>0.94491807526832938</v>
      </c>
      <c r="L39" s="1">
        <f t="shared" ref="L39:L68" si="5">AVERAGE(I39,K39)</f>
        <v>0.58595485429476835</v>
      </c>
      <c r="M39" s="32">
        <f>VLOOKUP(A39,Calculator!A:N,10,FALSE)</f>
        <v>9</v>
      </c>
      <c r="N39" s="1">
        <f>VLOOKUP(A39,Calculator!A:N,11,FALSE)</f>
        <v>4</v>
      </c>
      <c r="O39" s="1">
        <f>VLOOKUP(A39,Calculator!A:N,12,FALSE)</f>
        <v>6.5</v>
      </c>
      <c r="P39" s="32">
        <f>IF(M39="No Data","No Data",M39/(10-IF(M39&lt;10,VLOOKUP($A39,'Data Gaps'!$A:$N,3,FALSE),0)))</f>
        <v>0.9</v>
      </c>
      <c r="Q39" s="1">
        <f>IF(N39="No Data","No Data",N39/(8-IF(N39&lt;8,VLOOKUP($A39,'Data Gaps'!$A:$N,4,FALSE),0)))</f>
        <v>0.5</v>
      </c>
      <c r="R39" s="1">
        <f>IF(O39="No Data","No Data",O39/(12-IF(O39&lt;12,VLOOKUP($A39,'Data Gaps'!$A:$N,5,FALSE),0)))</f>
        <v>0.54166666666666663</v>
      </c>
      <c r="S39" s="32">
        <f t="shared" si="3"/>
        <v>63.190538024035867</v>
      </c>
    </row>
    <row r="40" spans="1:19" x14ac:dyDescent="0.35">
      <c r="A40" s="1" t="s">
        <v>47</v>
      </c>
      <c r="B40" s="28" t="s">
        <v>48</v>
      </c>
      <c r="C40" s="1" t="s">
        <v>49</v>
      </c>
      <c r="D40" s="1" t="s">
        <v>50</v>
      </c>
      <c r="E40" s="29" t="s">
        <v>9</v>
      </c>
      <c r="F40" s="28" t="s">
        <v>159</v>
      </c>
      <c r="G40" s="28" t="str">
        <f>VLOOKUP($A40,'EBA2017'!$A:$G,7,FALSE)</f>
        <v>Two</v>
      </c>
      <c r="H40" s="32">
        <f>VLOOKUP($A40,Calculator!$A:$N,13,FALSE)</f>
        <v>599</v>
      </c>
      <c r="I40" s="1">
        <f t="shared" si="2"/>
        <v>0.21244088759548888</v>
      </c>
      <c r="J40" s="1">
        <f>VLOOKUP($A40,Calculator!$A:$N,14,FALSE)</f>
        <v>184.28918503721331</v>
      </c>
      <c r="K40" s="1">
        <f t="shared" si="4"/>
        <v>0.80995513301710498</v>
      </c>
      <c r="L40" s="1">
        <f t="shared" si="5"/>
        <v>0.51119801030629697</v>
      </c>
      <c r="M40" s="32">
        <f>VLOOKUP(A40,Calculator!A:N,10,FALSE)</f>
        <v>8</v>
      </c>
      <c r="N40" s="1">
        <f>VLOOKUP(A40,Calculator!A:N,11,FALSE)</f>
        <v>5</v>
      </c>
      <c r="O40" s="1">
        <f>VLOOKUP(A40,Calculator!A:N,12,FALSE)</f>
        <v>2</v>
      </c>
      <c r="P40" s="32">
        <f>IF(M40="No Data","No Data",M40/(10-IF(M40&lt;10,VLOOKUP($A40,'Data Gaps'!$A:$N,3,FALSE),0)))</f>
        <v>0.8</v>
      </c>
      <c r="Q40" s="1">
        <f>IF(N40="No Data","No Data",N40/(8-IF(N40&lt;8,VLOOKUP($A40,'Data Gaps'!$A:$N,4,FALSE),0)))</f>
        <v>0.625</v>
      </c>
      <c r="R40" s="1">
        <f>IF(O40="No Data","No Data",O40/(12-IF(O40&lt;12,VLOOKUP($A40,'Data Gaps'!$A:$N,5,FALSE),0)))</f>
        <v>0.16666666666666666</v>
      </c>
      <c r="S40" s="32">
        <f t="shared" si="3"/>
        <v>52.571616924324097</v>
      </c>
    </row>
    <row r="41" spans="1:19" x14ac:dyDescent="0.35">
      <c r="A41" s="1" t="s">
        <v>51</v>
      </c>
      <c r="B41" s="28" t="s">
        <v>52</v>
      </c>
      <c r="C41" s="1" t="s">
        <v>16</v>
      </c>
      <c r="D41" s="1" t="s">
        <v>17</v>
      </c>
      <c r="E41" s="29" t="s">
        <v>18</v>
      </c>
      <c r="F41" s="28" t="s">
        <v>160</v>
      </c>
      <c r="G41" s="28" t="str">
        <f>VLOOKUP($A41,'EBA2017'!$A:$G,7,FALSE)</f>
        <v>Two</v>
      </c>
      <c r="H41" s="32">
        <f>VLOOKUP($A41,Calculator!$A:$N,13,FALSE)</f>
        <v>620</v>
      </c>
      <c r="I41" s="1">
        <f t="shared" si="2"/>
        <v>0.17424518006547796</v>
      </c>
      <c r="J41" s="1">
        <f>VLOOKUP($A41,Calculator!$A:$N,14,FALSE)</f>
        <v>77.778777683273688</v>
      </c>
      <c r="K41" s="1">
        <f t="shared" si="4"/>
        <v>0.9197920515198702</v>
      </c>
      <c r="L41" s="1">
        <f t="shared" si="5"/>
        <v>0.54701861579267408</v>
      </c>
      <c r="M41" s="32">
        <f>VLOOKUP(A41,Calculator!A:N,10,FALSE)</f>
        <v>6</v>
      </c>
      <c r="N41" s="1">
        <f>VLOOKUP(A41,Calculator!A:N,11,FALSE)</f>
        <v>4.5</v>
      </c>
      <c r="O41" s="1">
        <f>VLOOKUP(A41,Calculator!A:N,12,FALSE)</f>
        <v>4</v>
      </c>
      <c r="P41" s="32">
        <f>IF(M41="No Data","No Data",M41/(10-IF(M41&lt;10,VLOOKUP($A41,'Data Gaps'!$A:$N,3,FALSE),0)))</f>
        <v>0.6</v>
      </c>
      <c r="Q41" s="1">
        <f>IF(N41="No Data","No Data",N41/(8-IF(N41&lt;8,VLOOKUP($A41,'Data Gaps'!$A:$N,4,FALSE),0)))</f>
        <v>0.5625</v>
      </c>
      <c r="R41" s="1">
        <f>IF(O41="No Data","No Data",O41/(12-IF(O41&lt;12,VLOOKUP($A41,'Data Gaps'!$A:$N,5,FALSE),0)))</f>
        <v>0.33333333333333331</v>
      </c>
      <c r="S41" s="32">
        <f t="shared" si="3"/>
        <v>51.071298728150182</v>
      </c>
    </row>
    <row r="42" spans="1:19" x14ac:dyDescent="0.35">
      <c r="A42" s="1" t="s">
        <v>55</v>
      </c>
      <c r="B42" s="28" t="s">
        <v>56</v>
      </c>
      <c r="C42" s="1" t="s">
        <v>16</v>
      </c>
      <c r="D42" s="1" t="s">
        <v>17</v>
      </c>
      <c r="E42" s="29" t="s">
        <v>9</v>
      </c>
      <c r="F42" s="28" t="s">
        <v>160</v>
      </c>
      <c r="G42" s="28" t="str">
        <f>VLOOKUP($A42,'EBA2017'!$A:$G,7,FALSE)</f>
        <v>Two</v>
      </c>
      <c r="H42" s="32">
        <f>VLOOKUP($A42,Calculator!$A:$N,13,FALSE)</f>
        <v>757</v>
      </c>
      <c r="I42" s="1">
        <f t="shared" si="2"/>
        <v>0</v>
      </c>
      <c r="J42" s="1">
        <f>VLOOKUP($A42,Calculator!$A:$N,14,FALSE)</f>
        <v>1091.6197014380564</v>
      </c>
      <c r="K42" s="1">
        <f t="shared" si="4"/>
        <v>0</v>
      </c>
      <c r="L42" s="1">
        <f t="shared" si="5"/>
        <v>0</v>
      </c>
      <c r="M42" s="32">
        <f>VLOOKUP(A42,Calculator!A:N,10,FALSE)</f>
        <v>4</v>
      </c>
      <c r="N42" s="1">
        <f>VLOOKUP(A42,Calculator!A:N,11,FALSE)</f>
        <v>6</v>
      </c>
      <c r="O42" s="1">
        <f>VLOOKUP(A42,Calculator!A:N,12,FALSE)</f>
        <v>8.5</v>
      </c>
      <c r="P42" s="32">
        <f>IF(M42="No Data","No Data",M42/(10-IF(M42&lt;10,VLOOKUP($A42,'Data Gaps'!$A:$N,3,FALSE),0)))</f>
        <v>0.4</v>
      </c>
      <c r="Q42" s="1">
        <f>IF(N42="No Data","No Data",N42/(8-IF(N42&lt;8,VLOOKUP($A42,'Data Gaps'!$A:$N,4,FALSE),0)))</f>
        <v>0.75</v>
      </c>
      <c r="R42" s="1">
        <f>IF(O42="No Data","No Data",O42/(12-IF(O42&lt;12,VLOOKUP($A42,'Data Gaps'!$A:$N,5,FALSE),0)))</f>
        <v>0.70833333333333337</v>
      </c>
      <c r="S42" s="32">
        <f t="shared" si="3"/>
        <v>46.458333333333336</v>
      </c>
    </row>
    <row r="43" spans="1:19" x14ac:dyDescent="0.35">
      <c r="A43" s="1" t="s">
        <v>59</v>
      </c>
      <c r="B43" s="28" t="s">
        <v>60</v>
      </c>
      <c r="C43" s="1" t="s">
        <v>21</v>
      </c>
      <c r="D43" s="1" t="s">
        <v>22</v>
      </c>
      <c r="E43" s="28" t="s">
        <v>9</v>
      </c>
      <c r="F43" s="28" t="s">
        <v>159</v>
      </c>
      <c r="G43" s="28" t="str">
        <f>VLOOKUP($A43,'EBA2017'!$A:$G,7,FALSE)</f>
        <v>Two</v>
      </c>
      <c r="H43" s="32">
        <f>VLOOKUP($A43,Calculator!$A:$N,13,FALSE)</f>
        <v>166</v>
      </c>
      <c r="I43" s="1">
        <f t="shared" si="2"/>
        <v>1</v>
      </c>
      <c r="J43" s="1">
        <f>VLOOKUP($A43,Calculator!$A:$N,14,FALSE)</f>
        <v>1.8802228412256268</v>
      </c>
      <c r="K43" s="1">
        <f t="shared" si="4"/>
        <v>0.99806105442548476</v>
      </c>
      <c r="L43" s="1">
        <f t="shared" si="5"/>
        <v>0.99903052721274244</v>
      </c>
      <c r="M43" s="32">
        <f>VLOOKUP(A43,Calculator!A:N,10,FALSE)</f>
        <v>5</v>
      </c>
      <c r="N43" s="1">
        <f>VLOOKUP(A43,Calculator!A:N,11,FALSE)</f>
        <v>4.5</v>
      </c>
      <c r="O43" s="1">
        <f>VLOOKUP(A43,Calculator!A:N,12,FALSE)</f>
        <v>6</v>
      </c>
      <c r="P43" s="32">
        <f>IF(M43="No Data","No Data",M43/(10-IF(M43&lt;10,VLOOKUP($A43,'Data Gaps'!$A:$N,3,FALSE),0)))</f>
        <v>0.5</v>
      </c>
      <c r="Q43" s="1">
        <f>IF(N43="No Data","No Data",N43/(8-IF(N43&lt;8,VLOOKUP($A43,'Data Gaps'!$A:$N,4,FALSE),0)))</f>
        <v>0.5625</v>
      </c>
      <c r="R43" s="1">
        <f>IF(O43="No Data","No Data",O43/(12-IF(O43&lt;12,VLOOKUP($A43,'Data Gaps'!$A:$N,5,FALSE),0)))</f>
        <v>0.5</v>
      </c>
      <c r="S43" s="32">
        <f t="shared" si="3"/>
        <v>64.038263180318552</v>
      </c>
    </row>
    <row r="44" spans="1:19" x14ac:dyDescent="0.35">
      <c r="A44" s="1" t="s">
        <v>61</v>
      </c>
      <c r="B44" s="28" t="s">
        <v>62</v>
      </c>
      <c r="C44" s="1" t="s">
        <v>21</v>
      </c>
      <c r="D44" s="1" t="s">
        <v>22</v>
      </c>
      <c r="E44" s="28" t="s">
        <v>18</v>
      </c>
      <c r="F44" s="28" t="s">
        <v>159</v>
      </c>
      <c r="G44" s="28" t="str">
        <f>VLOOKUP($A44,'EBA2017'!$A:$G,7,FALSE)</f>
        <v>Two</v>
      </c>
      <c r="H44" s="32" t="str">
        <f>VLOOKUP($A44,Calculator!$A:$N,13,FALSE)</f>
        <v>No practice</v>
      </c>
      <c r="I44" s="1">
        <f t="shared" si="2"/>
        <v>0</v>
      </c>
      <c r="J44" s="1" t="str">
        <f>VLOOKUP($A44,Calculator!$A:$N,14,FALSE)</f>
        <v>No practice</v>
      </c>
      <c r="K44" s="1">
        <f t="shared" si="4"/>
        <v>0</v>
      </c>
      <c r="L44" s="1">
        <f t="shared" si="5"/>
        <v>0</v>
      </c>
      <c r="M44" s="32">
        <f>VLOOKUP(A44,Calculator!A:N,10,FALSE)</f>
        <v>4</v>
      </c>
      <c r="N44" s="1">
        <f>VLOOKUP(A44,Calculator!A:N,11,FALSE)</f>
        <v>0</v>
      </c>
      <c r="O44" s="1">
        <f>VLOOKUP(A44,Calculator!A:N,12,FALSE)</f>
        <v>0</v>
      </c>
      <c r="P44" s="32">
        <f>IF(M44="No Data","No Data",M44/(10-IF(M44&lt;10,VLOOKUP($A44,'Data Gaps'!$A:$N,3,FALSE),0)))</f>
        <v>0.4</v>
      </c>
      <c r="Q44" s="1">
        <f>IF(N44="No Data","No Data",N44/(8-IF(N44&lt;8,VLOOKUP($A44,'Data Gaps'!$A:$N,4,FALSE),0)))</f>
        <v>0</v>
      </c>
      <c r="R44" s="1">
        <f>IF(O44="No Data","No Data",O44/(12-IF(O44&lt;12,VLOOKUP($A44,'Data Gaps'!$A:$N,5,FALSE),0)))</f>
        <v>0</v>
      </c>
      <c r="S44" s="32">
        <f t="shared" si="3"/>
        <v>10</v>
      </c>
    </row>
    <row r="45" spans="1:19" x14ac:dyDescent="0.35">
      <c r="A45" s="1" t="s">
        <v>63</v>
      </c>
      <c r="B45" s="28" t="s">
        <v>146</v>
      </c>
      <c r="C45" s="1" t="s">
        <v>12</v>
      </c>
      <c r="D45" s="1" t="s">
        <v>13</v>
      </c>
      <c r="E45" s="28" t="s">
        <v>9</v>
      </c>
      <c r="F45" s="28" t="s">
        <v>162</v>
      </c>
      <c r="G45" s="28" t="str">
        <f>VLOOKUP($A45,'EBA2017'!$A:$G,7,FALSE)</f>
        <v>Two</v>
      </c>
      <c r="H45" s="32">
        <f>VLOOKUP($A45,Calculator!$A:$N,13,FALSE)</f>
        <v>397</v>
      </c>
      <c r="I45" s="1">
        <f t="shared" si="2"/>
        <v>0.57984721716987975</v>
      </c>
      <c r="J45" s="1">
        <f>VLOOKUP($A45,Calculator!$A:$N,14,FALSE)</f>
        <v>98.739280394767107</v>
      </c>
      <c r="K45" s="1">
        <f t="shared" si="4"/>
        <v>0.89817691469620908</v>
      </c>
      <c r="L45" s="1">
        <f t="shared" si="5"/>
        <v>0.73901206593304436</v>
      </c>
      <c r="M45" s="32">
        <f>VLOOKUP(A45,Calculator!A:N,10,FALSE)</f>
        <v>8</v>
      </c>
      <c r="N45" s="1">
        <f>VLOOKUP(A45,Calculator!A:N,11,FALSE)</f>
        <v>6</v>
      </c>
      <c r="O45" s="1">
        <f>VLOOKUP(A45,Calculator!A:N,12,FALSE)</f>
        <v>4.5</v>
      </c>
      <c r="P45" s="32">
        <f>IF(M45="No Data","No Data",M45/(10-IF(M45&lt;10,VLOOKUP($A45,'Data Gaps'!$A:$N,3,FALSE),0)))</f>
        <v>0.8</v>
      </c>
      <c r="Q45" s="1">
        <f>IF(N45="No Data","No Data",N45/(8-IF(N45&lt;8,VLOOKUP($A45,'Data Gaps'!$A:$N,4,FALSE),0)))</f>
        <v>0.75</v>
      </c>
      <c r="R45" s="1">
        <f>IF(O45="No Data","No Data",O45/(12-IF(O45&lt;12,VLOOKUP($A45,'Data Gaps'!$A:$N,5,FALSE),0)))</f>
        <v>0.375</v>
      </c>
      <c r="S45" s="32">
        <f t="shared" si="3"/>
        <v>66.600301648326109</v>
      </c>
    </row>
    <row r="46" spans="1:19" x14ac:dyDescent="0.35">
      <c r="A46" s="1" t="s">
        <v>66</v>
      </c>
      <c r="B46" s="28" t="s">
        <v>67</v>
      </c>
      <c r="C46" s="1" t="s">
        <v>49</v>
      </c>
      <c r="D46" s="1" t="s">
        <v>50</v>
      </c>
      <c r="E46" s="28" t="s">
        <v>25</v>
      </c>
      <c r="F46" s="28" t="s">
        <v>161</v>
      </c>
      <c r="G46" s="28" t="str">
        <f>VLOOKUP($A46,'EBA2017'!$A:$G,7,FALSE)</f>
        <v>Two</v>
      </c>
      <c r="H46" s="32">
        <f>VLOOKUP($A46,Calculator!$A:$N,13,FALSE)</f>
        <v>514</v>
      </c>
      <c r="I46" s="1">
        <f t="shared" si="2"/>
        <v>0.36704256093124743</v>
      </c>
      <c r="J46" s="1">
        <f>VLOOKUP($A46,Calculator!$A:$N,14,FALSE)</f>
        <v>57.767487237509265</v>
      </c>
      <c r="K46" s="1">
        <f t="shared" si="4"/>
        <v>0.94042833047543362</v>
      </c>
      <c r="L46" s="1">
        <f t="shared" si="5"/>
        <v>0.65373544570334052</v>
      </c>
      <c r="M46" s="32">
        <f>VLOOKUP(A46,Calculator!A:N,10,FALSE)</f>
        <v>10</v>
      </c>
      <c r="N46" s="1">
        <f>VLOOKUP(A46,Calculator!A:N,11,FALSE)</f>
        <v>6</v>
      </c>
      <c r="O46" s="1">
        <f>VLOOKUP(A46,Calculator!A:N,12,FALSE)</f>
        <v>3</v>
      </c>
      <c r="P46" s="32">
        <f>IF(M46="No Data","No Data",M46/(10-IF(M46&lt;10,VLOOKUP($A46,'Data Gaps'!$A:$N,3,FALSE),0)))</f>
        <v>1</v>
      </c>
      <c r="Q46" s="1">
        <f>IF(N46="No Data","No Data",N46/(8-IF(N46&lt;8,VLOOKUP($A46,'Data Gaps'!$A:$N,4,FALSE),0)))</f>
        <v>0.75</v>
      </c>
      <c r="R46" s="1">
        <f>IF(O46="No Data","No Data",O46/(12-IF(O46&lt;12,VLOOKUP($A46,'Data Gaps'!$A:$N,5,FALSE),0)))</f>
        <v>0.25</v>
      </c>
      <c r="S46" s="32">
        <f t="shared" si="3"/>
        <v>66.343386142583512</v>
      </c>
    </row>
    <row r="47" spans="1:19" x14ac:dyDescent="0.35">
      <c r="A47" s="1" t="s">
        <v>70</v>
      </c>
      <c r="B47" s="28" t="s">
        <v>71</v>
      </c>
      <c r="C47" s="1" t="s">
        <v>16</v>
      </c>
      <c r="D47" s="1" t="s">
        <v>17</v>
      </c>
      <c r="E47" s="28" t="s">
        <v>9</v>
      </c>
      <c r="F47" s="28" t="s">
        <v>160</v>
      </c>
      <c r="G47" s="28" t="str">
        <f>VLOOKUP($A47,'EBA2017'!$A:$G,7,FALSE)</f>
        <v>Two</v>
      </c>
      <c r="H47" s="32">
        <f>VLOOKUP($A47,Calculator!$A:$N,13,FALSE)</f>
        <v>322</v>
      </c>
      <c r="I47" s="1">
        <f t="shared" si="2"/>
        <v>0.71626045834849017</v>
      </c>
      <c r="J47" s="1">
        <f>VLOOKUP($A47,Calculator!$A:$N,14,FALSE)</f>
        <v>123.167870074373</v>
      </c>
      <c r="K47" s="1">
        <f t="shared" si="4"/>
        <v>0.87298537632512685</v>
      </c>
      <c r="L47" s="1">
        <f t="shared" si="5"/>
        <v>0.79462291733680845</v>
      </c>
      <c r="M47" s="32">
        <f>VLOOKUP(A47,Calculator!A:N,10,FALSE)</f>
        <v>10</v>
      </c>
      <c r="N47" s="1">
        <f>VLOOKUP(A47,Calculator!A:N,11,FALSE)</f>
        <v>7</v>
      </c>
      <c r="O47" s="1">
        <f>VLOOKUP(A47,Calculator!A:N,12,FALSE)</f>
        <v>6</v>
      </c>
      <c r="P47" s="32">
        <f>IF(M47="No Data","No Data",M47/(10-IF(M47&lt;10,VLOOKUP($A47,'Data Gaps'!$A:$N,3,FALSE),0)))</f>
        <v>1</v>
      </c>
      <c r="Q47" s="1">
        <f>IF(N47="No Data","No Data",N47/(8-IF(N47&lt;8,VLOOKUP($A47,'Data Gaps'!$A:$N,4,FALSE),0)))</f>
        <v>0.875</v>
      </c>
      <c r="R47" s="1">
        <f>IF(O47="No Data","No Data",O47/(12-IF(O47&lt;12,VLOOKUP($A47,'Data Gaps'!$A:$N,5,FALSE),0)))</f>
        <v>0.5</v>
      </c>
      <c r="S47" s="32">
        <f t="shared" si="3"/>
        <v>79.240572933420211</v>
      </c>
    </row>
    <row r="48" spans="1:19" x14ac:dyDescent="0.35">
      <c r="A48" s="1" t="s">
        <v>30</v>
      </c>
      <c r="B48" s="28" t="s">
        <v>31</v>
      </c>
      <c r="C48" s="1" t="s">
        <v>32</v>
      </c>
      <c r="D48" s="1" t="s">
        <v>33</v>
      </c>
      <c r="E48" s="29" t="s">
        <v>9</v>
      </c>
      <c r="F48" s="28" t="s">
        <v>162</v>
      </c>
      <c r="G48" s="28" t="str">
        <f>VLOOKUP($A48,'EBA2017'!$A:$G,7,FALSE)</f>
        <v>Two</v>
      </c>
      <c r="H48" s="32">
        <f>VLOOKUP($A48,Calculator!$A:$N,13,FALSE)</f>
        <v>407</v>
      </c>
      <c r="I48" s="1">
        <f t="shared" si="2"/>
        <v>0.5616587850127317</v>
      </c>
      <c r="J48" s="1">
        <f>VLOOKUP($A48,Calculator!$A:$N,14,FALSE)</f>
        <v>17.251872921867157</v>
      </c>
      <c r="K48" s="1">
        <f t="shared" si="4"/>
        <v>0.98220932012923057</v>
      </c>
      <c r="L48" s="1">
        <f t="shared" si="5"/>
        <v>0.77193405257098113</v>
      </c>
      <c r="M48" s="32">
        <f>VLOOKUP(A48,Calculator!A:N,10,FALSE)</f>
        <v>8</v>
      </c>
      <c r="N48" s="1">
        <f>VLOOKUP(A48,Calculator!A:N,11,FALSE)</f>
        <v>2</v>
      </c>
      <c r="O48" s="1">
        <f>VLOOKUP(A48,Calculator!A:N,12,FALSE)</f>
        <v>3</v>
      </c>
      <c r="P48" s="32">
        <f>IF(M48="No Data","No Data",M48/(10-IF(M48&lt;10,VLOOKUP($A48,'Data Gaps'!$A:$N,3,FALSE),0)))</f>
        <v>0.8</v>
      </c>
      <c r="Q48" s="1">
        <f>IF(N48="No Data","No Data",N48/(8-IF(N48&lt;8,VLOOKUP($A48,'Data Gaps'!$A:$N,4,FALSE),0)))</f>
        <v>0.25</v>
      </c>
      <c r="R48" s="1">
        <f>IF(O48="No Data","No Data",O48/(12-IF(O48&lt;12,VLOOKUP($A48,'Data Gaps'!$A:$N,5,FALSE),0)))</f>
        <v>0.25</v>
      </c>
      <c r="S48" s="32">
        <f t="shared" si="3"/>
        <v>51.798351314274527</v>
      </c>
    </row>
    <row r="49" spans="1:19" x14ac:dyDescent="0.35">
      <c r="A49" s="1" t="s">
        <v>76</v>
      </c>
      <c r="B49" s="28" t="s">
        <v>77</v>
      </c>
      <c r="C49" s="1" t="s">
        <v>32</v>
      </c>
      <c r="D49" s="1" t="s">
        <v>33</v>
      </c>
      <c r="E49" s="28" t="s">
        <v>9</v>
      </c>
      <c r="F49" s="28" t="s">
        <v>160</v>
      </c>
      <c r="G49" s="28" t="str">
        <f>VLOOKUP($A49,'EBA2017'!$A:$G,7,FALSE)</f>
        <v>Two</v>
      </c>
      <c r="H49" s="32" t="str">
        <f>VLOOKUP($A49,Calculator!$A:$N,13,FALSE)</f>
        <v>No practice</v>
      </c>
      <c r="I49" s="1">
        <f t="shared" si="2"/>
        <v>0</v>
      </c>
      <c r="J49" s="1" t="str">
        <f>VLOOKUP($A49,Calculator!$A:$N,14,FALSE)</f>
        <v>No practice</v>
      </c>
      <c r="K49" s="1">
        <f t="shared" si="4"/>
        <v>0</v>
      </c>
      <c r="L49" s="1">
        <f t="shared" si="5"/>
        <v>0</v>
      </c>
      <c r="M49" s="32">
        <f>VLOOKUP(A49,Calculator!A:N,10,FALSE)</f>
        <v>4</v>
      </c>
      <c r="N49" s="1">
        <f>VLOOKUP(A49,Calculator!A:N,11,FALSE)</f>
        <v>3.5</v>
      </c>
      <c r="O49" s="1">
        <f>VLOOKUP(A49,Calculator!A:N,12,FALSE)</f>
        <v>0</v>
      </c>
      <c r="P49" s="32">
        <f>IF(M49="No Data","No Data",M49/(10-IF(M49&lt;10,VLOOKUP($A49,'Data Gaps'!$A:$N,3,FALSE),0)))</f>
        <v>0.4</v>
      </c>
      <c r="Q49" s="1">
        <f>IF(N49="No Data","No Data",N49/(8-IF(N49&lt;8,VLOOKUP($A49,'Data Gaps'!$A:$N,4,FALSE),0)))</f>
        <v>0.4375</v>
      </c>
      <c r="R49" s="1">
        <f>IF(O49="No Data","No Data",O49/(12-IF(O49&lt;12,VLOOKUP($A49,'Data Gaps'!$A:$N,5,FALSE),0)))</f>
        <v>0</v>
      </c>
      <c r="S49" s="32">
        <f t="shared" si="3"/>
        <v>20.9375</v>
      </c>
    </row>
    <row r="50" spans="1:19" x14ac:dyDescent="0.35">
      <c r="A50" s="1" t="s">
        <v>122</v>
      </c>
      <c r="B50" s="28" t="s">
        <v>123</v>
      </c>
      <c r="C50" s="1" t="s">
        <v>12</v>
      </c>
      <c r="D50" s="1" t="s">
        <v>13</v>
      </c>
      <c r="E50" s="29" t="s">
        <v>9</v>
      </c>
      <c r="F50" s="28" t="s">
        <v>160</v>
      </c>
      <c r="G50" s="28" t="str">
        <f>VLOOKUP($A50,'EBA2017'!$A:$G,7,FALSE)</f>
        <v>Two</v>
      </c>
      <c r="H50" s="32">
        <f>VLOOKUP($A50,Calculator!$A:$N,13,FALSE)</f>
        <v>298</v>
      </c>
      <c r="I50" s="1">
        <f t="shared" si="2"/>
        <v>0.75991269552564555</v>
      </c>
      <c r="J50" s="1">
        <f>VLOOKUP($A50,Calculator!$A:$N,14,FALSE)</f>
        <v>0</v>
      </c>
      <c r="K50" s="1">
        <f t="shared" si="4"/>
        <v>1</v>
      </c>
      <c r="L50" s="1">
        <f t="shared" si="5"/>
        <v>0.87995634776282272</v>
      </c>
      <c r="M50" s="32">
        <f>VLOOKUP(A50,Calculator!A:N,10,FALSE)</f>
        <v>4</v>
      </c>
      <c r="N50" s="1">
        <f>VLOOKUP(A50,Calculator!A:N,11,FALSE)</f>
        <v>3.5</v>
      </c>
      <c r="O50" s="1">
        <f>VLOOKUP(A50,Calculator!A:N,12,FALSE)</f>
        <v>2</v>
      </c>
      <c r="P50" s="32">
        <f>IF(M50="No Data","No Data",M50/(10-IF(M50&lt;10,VLOOKUP($A50,'Data Gaps'!$A:$N,3,FALSE),0)))</f>
        <v>0.4</v>
      </c>
      <c r="Q50" s="1">
        <f>IF(N50="No Data","No Data",N50/(8-IF(N50&lt;8,VLOOKUP($A50,'Data Gaps'!$A:$N,4,FALSE),0)))</f>
        <v>0.4375</v>
      </c>
      <c r="R50" s="1">
        <f>IF(O50="No Data","No Data",O50/(12-IF(O50&lt;12,VLOOKUP($A50,'Data Gaps'!$A:$N,5,FALSE),0)))</f>
        <v>0.16666666666666666</v>
      </c>
      <c r="S50" s="32">
        <f t="shared" si="3"/>
        <v>47.103075360737243</v>
      </c>
    </row>
    <row r="51" spans="1:19" x14ac:dyDescent="0.35">
      <c r="A51" s="1" t="s">
        <v>88</v>
      </c>
      <c r="B51" s="28" t="s">
        <v>89</v>
      </c>
      <c r="C51" s="1" t="s">
        <v>49</v>
      </c>
      <c r="D51" s="1" t="s">
        <v>50</v>
      </c>
      <c r="E51" s="28" t="s">
        <v>9</v>
      </c>
      <c r="F51" s="28" t="s">
        <v>161</v>
      </c>
      <c r="G51" s="28" t="str">
        <f>VLOOKUP($A51,'EBA2017'!$A:$G,7,FALSE)</f>
        <v>Two</v>
      </c>
      <c r="H51" s="32">
        <f>VLOOKUP($A51,Calculator!$A:$N,13,FALSE)</f>
        <v>584</v>
      </c>
      <c r="I51" s="1">
        <f t="shared" si="2"/>
        <v>0.23972353583121098</v>
      </c>
      <c r="J51" s="1">
        <f>VLOOKUP($A51,Calculator!$A:$N,14,FALSE)</f>
        <v>18.132427180903157</v>
      </c>
      <c r="K51" s="1">
        <f t="shared" si="4"/>
        <v>0.98130126458057787</v>
      </c>
      <c r="L51" s="1">
        <f t="shared" si="5"/>
        <v>0.61051240020589437</v>
      </c>
      <c r="M51" s="32">
        <f>VLOOKUP(A51,Calculator!A:N,10,FALSE)</f>
        <v>10</v>
      </c>
      <c r="N51" s="1">
        <f>VLOOKUP(A51,Calculator!A:N,11,FALSE)</f>
        <v>4.5</v>
      </c>
      <c r="O51" s="1">
        <f>VLOOKUP(A51,Calculator!A:N,12,FALSE)</f>
        <v>6.5</v>
      </c>
      <c r="P51" s="32">
        <f>IF(M51="No Data","No Data",M51/(10-IF(M51&lt;10,VLOOKUP($A51,'Data Gaps'!$A:$N,3,FALSE),0)))</f>
        <v>1</v>
      </c>
      <c r="Q51" s="1">
        <f>IF(N51="No Data","No Data",N51/(8-IF(N51&lt;8,VLOOKUP($A51,'Data Gaps'!$A:$N,4,FALSE),0)))</f>
        <v>0.5625</v>
      </c>
      <c r="R51" s="1">
        <f>IF(O51="No Data","No Data",O51/(12-IF(O51&lt;12,VLOOKUP($A51,'Data Gaps'!$A:$N,5,FALSE),0)))</f>
        <v>0.54166666666666663</v>
      </c>
      <c r="S51" s="32">
        <f t="shared" si="3"/>
        <v>67.866976671814015</v>
      </c>
    </row>
    <row r="52" spans="1:19" x14ac:dyDescent="0.35">
      <c r="A52" s="1" t="s">
        <v>86</v>
      </c>
      <c r="B52" s="28" t="s">
        <v>87</v>
      </c>
      <c r="C52" s="1" t="s">
        <v>21</v>
      </c>
      <c r="D52" s="1" t="s">
        <v>22</v>
      </c>
      <c r="E52" s="28" t="s">
        <v>25</v>
      </c>
      <c r="F52" s="28" t="s">
        <v>161</v>
      </c>
      <c r="G52" s="28" t="str">
        <f>VLOOKUP($A52,'EBA2017'!$A:$G,7,FALSE)</f>
        <v>Two</v>
      </c>
      <c r="H52" s="32">
        <f>VLOOKUP($A52,Calculator!$A:$N,13,FALSE)</f>
        <v>621</v>
      </c>
      <c r="I52" s="1">
        <f t="shared" si="2"/>
        <v>0.17242633684976313</v>
      </c>
      <c r="J52" s="1">
        <f>VLOOKUP($A52,Calculator!$A:$N,14,FALSE)</f>
        <v>16.160026166289668</v>
      </c>
      <c r="K52" s="1">
        <f t="shared" si="4"/>
        <v>0.98333526721824471</v>
      </c>
      <c r="L52" s="1">
        <f t="shared" si="5"/>
        <v>0.57788080203400394</v>
      </c>
      <c r="M52" s="32">
        <f>VLOOKUP(A52,Calculator!A:N,10,FALSE)</f>
        <v>8</v>
      </c>
      <c r="N52" s="1">
        <f>VLOOKUP(A52,Calculator!A:N,11,FALSE)</f>
        <v>5</v>
      </c>
      <c r="O52" s="1">
        <f>VLOOKUP(A52,Calculator!A:N,12,FALSE)</f>
        <v>7</v>
      </c>
      <c r="P52" s="32">
        <f>IF(M52="No Data","No Data",M52/(10-IF(M52&lt;10,VLOOKUP($A52,'Data Gaps'!$A:$N,3,FALSE),0)))</f>
        <v>0.8</v>
      </c>
      <c r="Q52" s="1">
        <f>IF(N52="No Data","No Data",N52/(8-IF(N52&lt;8,VLOOKUP($A52,'Data Gaps'!$A:$N,4,FALSE),0)))</f>
        <v>0.625</v>
      </c>
      <c r="R52" s="1">
        <f>IF(O52="No Data","No Data",O52/(12-IF(O52&lt;12,VLOOKUP($A52,'Data Gaps'!$A:$N,5,FALSE),0)))</f>
        <v>0.58333333333333337</v>
      </c>
      <c r="S52" s="32">
        <f t="shared" si="3"/>
        <v>64.655353384183428</v>
      </c>
    </row>
    <row r="53" spans="1:19" x14ac:dyDescent="0.35">
      <c r="A53" s="1" t="s">
        <v>92</v>
      </c>
      <c r="B53" s="28" t="s">
        <v>93</v>
      </c>
      <c r="C53" s="1" t="s">
        <v>32</v>
      </c>
      <c r="D53" s="1" t="s">
        <v>33</v>
      </c>
      <c r="E53" s="28" t="s">
        <v>9</v>
      </c>
      <c r="F53" s="28" t="s">
        <v>161</v>
      </c>
      <c r="G53" s="28" t="str">
        <f>VLOOKUP($A53,'EBA2017'!$A:$G,7,FALSE)</f>
        <v>Two</v>
      </c>
      <c r="H53" s="32">
        <f>VLOOKUP($A53,Calculator!$A:$N,13,FALSE)</f>
        <v>306</v>
      </c>
      <c r="I53" s="1">
        <f t="shared" si="2"/>
        <v>0.74536194979992709</v>
      </c>
      <c r="J53" s="1">
        <f>VLOOKUP($A53,Calculator!$A:$N,14,FALSE)</f>
        <v>26.603349048226509</v>
      </c>
      <c r="K53" s="1">
        <f t="shared" si="4"/>
        <v>0.97256578062272714</v>
      </c>
      <c r="L53" s="1">
        <f t="shared" si="5"/>
        <v>0.85896386521132717</v>
      </c>
      <c r="M53" s="32">
        <f>VLOOKUP(A53,Calculator!A:N,10,FALSE)</f>
        <v>7</v>
      </c>
      <c r="N53" s="1">
        <f>VLOOKUP(A53,Calculator!A:N,11,FALSE)</f>
        <v>3</v>
      </c>
      <c r="O53" s="1">
        <f>VLOOKUP(A53,Calculator!A:N,12,FALSE)</f>
        <v>3</v>
      </c>
      <c r="P53" s="32">
        <f>IF(M53="No Data","No Data",M53/(10-IF(M53&lt;10,VLOOKUP($A53,'Data Gaps'!$A:$N,3,FALSE),0)))</f>
        <v>0.7</v>
      </c>
      <c r="Q53" s="1">
        <f>IF(N53="No Data","No Data",N53/(8-IF(N53&lt;8,VLOOKUP($A53,'Data Gaps'!$A:$N,4,FALSE),0)))</f>
        <v>0.375</v>
      </c>
      <c r="R53" s="1">
        <f>IF(O53="No Data","No Data",O53/(12-IF(O53&lt;12,VLOOKUP($A53,'Data Gaps'!$A:$N,5,FALSE),0)))</f>
        <v>0.25</v>
      </c>
      <c r="S53" s="32">
        <f t="shared" si="3"/>
        <v>54.599096630283171</v>
      </c>
    </row>
    <row r="54" spans="1:19" x14ac:dyDescent="0.35">
      <c r="A54" s="1" t="s">
        <v>90</v>
      </c>
      <c r="B54" s="28" t="s">
        <v>91</v>
      </c>
      <c r="C54" s="1" t="s">
        <v>16</v>
      </c>
      <c r="D54" s="1" t="s">
        <v>17</v>
      </c>
      <c r="E54" s="28" t="s">
        <v>18</v>
      </c>
      <c r="F54" s="28" t="s">
        <v>159</v>
      </c>
      <c r="G54" s="28" t="str">
        <f>VLOOKUP($A54,'EBA2017'!$A:$G,7,FALSE)</f>
        <v>Two</v>
      </c>
      <c r="H54" s="32">
        <f>VLOOKUP($A54,Calculator!$A:$N,13,FALSE)</f>
        <v>582</v>
      </c>
      <c r="I54" s="1">
        <f t="shared" si="2"/>
        <v>0.24336122226264059</v>
      </c>
      <c r="J54" s="1">
        <f>VLOOKUP($A54,Calculator!$A:$N,14,FALSE)</f>
        <v>86.206896551724128</v>
      </c>
      <c r="K54" s="1">
        <f t="shared" si="4"/>
        <v>0.91110070737535487</v>
      </c>
      <c r="L54" s="1">
        <f t="shared" si="5"/>
        <v>0.57723096481899772</v>
      </c>
      <c r="M54" s="32">
        <f>VLOOKUP(A54,Calculator!A:N,10,FALSE)</f>
        <v>8</v>
      </c>
      <c r="N54" s="1">
        <f>VLOOKUP(A54,Calculator!A:N,11,FALSE)</f>
        <v>6</v>
      </c>
      <c r="O54" s="1">
        <f>VLOOKUP(A54,Calculator!A:N,12,FALSE)</f>
        <v>6</v>
      </c>
      <c r="P54" s="32">
        <f>IF(M54="No Data","No Data",M54/(10-IF(M54&lt;10,VLOOKUP($A54,'Data Gaps'!$A:$N,3,FALSE),0)))</f>
        <v>0.8</v>
      </c>
      <c r="Q54" s="1">
        <f>IF(N54="No Data","No Data",N54/(8-IF(N54&lt;8,VLOOKUP($A54,'Data Gaps'!$A:$N,4,FALSE),0)))</f>
        <v>0.75</v>
      </c>
      <c r="R54" s="1">
        <f>IF(O54="No Data","No Data",O54/(12-IF(O54&lt;12,VLOOKUP($A54,'Data Gaps'!$A:$N,5,FALSE),0)))</f>
        <v>0.5</v>
      </c>
      <c r="S54" s="32">
        <f t="shared" si="3"/>
        <v>65.68077412047495</v>
      </c>
    </row>
    <row r="55" spans="1:19" x14ac:dyDescent="0.35">
      <c r="A55" s="1" t="s">
        <v>80</v>
      </c>
      <c r="B55" s="28" t="s">
        <v>81</v>
      </c>
      <c r="C55" s="1" t="s">
        <v>16</v>
      </c>
      <c r="D55" s="1" t="s">
        <v>17</v>
      </c>
      <c r="E55" s="28" t="s">
        <v>18</v>
      </c>
      <c r="F55" s="28" t="s">
        <v>160</v>
      </c>
      <c r="G55" s="28" t="str">
        <f>VLOOKUP($A55,'EBA2017'!$A:$G,7,FALSE)</f>
        <v>Two</v>
      </c>
      <c r="H55" s="32">
        <f>VLOOKUP($A55,Calculator!$A:$N,13,FALSE)</f>
        <v>579</v>
      </c>
      <c r="I55" s="1">
        <f t="shared" si="2"/>
        <v>0.248817751909785</v>
      </c>
      <c r="J55" s="1">
        <f>VLOOKUP($A55,Calculator!$A:$N,14,FALSE)</f>
        <v>2038.1309297703353</v>
      </c>
      <c r="K55" s="1">
        <f t="shared" si="4"/>
        <v>0</v>
      </c>
      <c r="L55" s="1">
        <f t="shared" si="5"/>
        <v>0.1244088759548925</v>
      </c>
      <c r="M55" s="32">
        <f>VLOOKUP(A55,Calculator!A:N,10,FALSE)</f>
        <v>5</v>
      </c>
      <c r="N55" s="1">
        <f>VLOOKUP(A55,Calculator!A:N,11,FALSE)</f>
        <v>5.5</v>
      </c>
      <c r="O55" s="1">
        <f>VLOOKUP(A55,Calculator!A:N,12,FALSE)</f>
        <v>6</v>
      </c>
      <c r="P55" s="32">
        <f>IF(M55="No Data","No Data",M55/(10-IF(M55&lt;10,VLOOKUP($A55,'Data Gaps'!$A:$N,3,FALSE),0)))</f>
        <v>0.5</v>
      </c>
      <c r="Q55" s="1">
        <f>IF(N55="No Data","No Data",N55/(8-IF(N55&lt;8,VLOOKUP($A55,'Data Gaps'!$A:$N,4,FALSE),0)))</f>
        <v>0.6875</v>
      </c>
      <c r="R55" s="1">
        <f>IF(O55="No Data","No Data",O55/(12-IF(O55&lt;12,VLOOKUP($A55,'Data Gaps'!$A:$N,5,FALSE),0)))</f>
        <v>0.5</v>
      </c>
      <c r="S55" s="32">
        <f t="shared" si="3"/>
        <v>45.297721898872311</v>
      </c>
    </row>
    <row r="56" spans="1:19" x14ac:dyDescent="0.35">
      <c r="A56" s="1" t="s">
        <v>82</v>
      </c>
      <c r="B56" s="28" t="s">
        <v>83</v>
      </c>
      <c r="C56" s="1" t="s">
        <v>32</v>
      </c>
      <c r="D56" s="1" t="s">
        <v>33</v>
      </c>
      <c r="E56" s="28" t="s">
        <v>25</v>
      </c>
      <c r="F56" s="28" t="s">
        <v>161</v>
      </c>
      <c r="G56" s="28" t="str">
        <f>VLOOKUP($A56,'EBA2017'!$A:$G,7,FALSE)</f>
        <v>Two</v>
      </c>
      <c r="H56" s="32">
        <f>VLOOKUP($A56,Calculator!$A:$N,13,FALSE)</f>
        <v>561</v>
      </c>
      <c r="I56" s="1">
        <f t="shared" si="2"/>
        <v>0.28155692979265151</v>
      </c>
      <c r="J56" s="1">
        <f>VLOOKUP($A56,Calculator!$A:$N,14,FALSE)</f>
        <v>7.0133767243648091</v>
      </c>
      <c r="K56" s="1">
        <f t="shared" si="4"/>
        <v>0.99276758293540834</v>
      </c>
      <c r="L56" s="1">
        <f t="shared" si="5"/>
        <v>0.6371622563640299</v>
      </c>
      <c r="M56" s="32">
        <f>VLOOKUP(A56,Calculator!A:N,10,FALSE)</f>
        <v>9</v>
      </c>
      <c r="N56" s="1">
        <f>VLOOKUP(A56,Calculator!A:N,11,FALSE)</f>
        <v>3</v>
      </c>
      <c r="O56" s="1">
        <f>VLOOKUP(A56,Calculator!A:N,12,FALSE)</f>
        <v>0</v>
      </c>
      <c r="P56" s="32">
        <f>IF(M56="No Data","No Data",M56/(10-IF(M56&lt;10,VLOOKUP($A56,'Data Gaps'!$A:$N,3,FALSE),0)))</f>
        <v>0.9</v>
      </c>
      <c r="Q56" s="1">
        <f>IF(N56="No Data","No Data",N56/(8-IF(N56&lt;8,VLOOKUP($A56,'Data Gaps'!$A:$N,4,FALSE),0)))</f>
        <v>0.375</v>
      </c>
      <c r="R56" s="1">
        <f>IF(O56="No Data","No Data",O56/(12-IF(O56&lt;12,VLOOKUP($A56,'Data Gaps'!$A:$N,5,FALSE),0)))</f>
        <v>0</v>
      </c>
      <c r="S56" s="32">
        <f t="shared" si="3"/>
        <v>47.804056409100745</v>
      </c>
    </row>
    <row r="57" spans="1:19" x14ac:dyDescent="0.35">
      <c r="A57" s="1" t="s">
        <v>100</v>
      </c>
      <c r="B57" s="28" t="s">
        <v>101</v>
      </c>
      <c r="C57" s="1" t="s">
        <v>16</v>
      </c>
      <c r="D57" s="1" t="s">
        <v>17</v>
      </c>
      <c r="E57" s="28" t="s">
        <v>18</v>
      </c>
      <c r="F57" s="28" t="s">
        <v>161</v>
      </c>
      <c r="G57" s="28" t="str">
        <f>VLOOKUP($A57,'EBA2017'!$A:$G,7,FALSE)</f>
        <v>Two</v>
      </c>
      <c r="H57" s="32" t="str">
        <f>VLOOKUP($A57,Calculator!$A:$N,13,FALSE)</f>
        <v>No practice</v>
      </c>
      <c r="I57" s="1">
        <f t="shared" si="2"/>
        <v>0</v>
      </c>
      <c r="J57" s="1" t="str">
        <f>VLOOKUP($A57,Calculator!$A:$N,14,FALSE)</f>
        <v>No practice</v>
      </c>
      <c r="K57" s="1">
        <f t="shared" si="4"/>
        <v>0</v>
      </c>
      <c r="L57" s="1">
        <f t="shared" si="5"/>
        <v>0</v>
      </c>
      <c r="M57" s="32">
        <f>VLOOKUP(A57,Calculator!A:N,10,FALSE)</f>
        <v>4</v>
      </c>
      <c r="N57" s="1">
        <f>VLOOKUP(A57,Calculator!A:N,11,FALSE)</f>
        <v>8</v>
      </c>
      <c r="O57" s="1">
        <f>VLOOKUP(A57,Calculator!A:N,12,FALSE)</f>
        <v>5</v>
      </c>
      <c r="P57" s="32">
        <f>IF(M57="No Data","No Data",M57/(10-IF(M57&lt;10,VLOOKUP($A57,'Data Gaps'!$A:$N,3,FALSE),0)))</f>
        <v>0.4</v>
      </c>
      <c r="Q57" s="1">
        <f>IF(N57="No Data","No Data",N57/(8-IF(N57&lt;8,VLOOKUP($A57,'Data Gaps'!$A:$N,4,FALSE),0)))</f>
        <v>1</v>
      </c>
      <c r="R57" s="1">
        <f>IF(O57="No Data","No Data",O57/(12-IF(O57&lt;12,VLOOKUP($A57,'Data Gaps'!$A:$N,5,FALSE),0)))</f>
        <v>0.41666666666666669</v>
      </c>
      <c r="S57" s="32">
        <f t="shared" si="3"/>
        <v>45.416666666666664</v>
      </c>
    </row>
    <row r="58" spans="1:19" x14ac:dyDescent="0.35">
      <c r="A58" s="1" t="s">
        <v>102</v>
      </c>
      <c r="B58" s="28" t="s">
        <v>103</v>
      </c>
      <c r="C58" s="1" t="s">
        <v>16</v>
      </c>
      <c r="D58" s="1" t="s">
        <v>17</v>
      </c>
      <c r="E58" s="29" t="s">
        <v>9</v>
      </c>
      <c r="F58" s="28" t="s">
        <v>160</v>
      </c>
      <c r="G58" s="28" t="str">
        <f>VLOOKUP($A58,'EBA2017'!$A:$G,7,FALSE)</f>
        <v>Two</v>
      </c>
      <c r="H58" s="32">
        <f>VLOOKUP($A58,Calculator!$A:$N,13,FALSE)</f>
        <v>367</v>
      </c>
      <c r="I58" s="1">
        <f t="shared" si="2"/>
        <v>0.63441251364132389</v>
      </c>
      <c r="J58" s="1">
        <f>VLOOKUP($A58,Calculator!$A:$N,14,FALSE)</f>
        <v>197.92738514189782</v>
      </c>
      <c r="K58" s="1">
        <f t="shared" si="4"/>
        <v>0.79589098745013909</v>
      </c>
      <c r="L58" s="1">
        <f t="shared" si="5"/>
        <v>0.71515175054573143</v>
      </c>
      <c r="M58" s="32">
        <f>VLOOKUP(A58,Calculator!A:N,10,FALSE)</f>
        <v>3</v>
      </c>
      <c r="N58" s="1">
        <f>VLOOKUP(A58,Calculator!A:N,11,FALSE)</f>
        <v>5.5</v>
      </c>
      <c r="O58" s="1">
        <f>VLOOKUP(A58,Calculator!A:N,12,FALSE)</f>
        <v>3</v>
      </c>
      <c r="P58" s="32">
        <f>IF(M58="No Data","No Data",M58/(10-IF(M58&lt;10,VLOOKUP($A58,'Data Gaps'!$A:$N,3,FALSE),0)))</f>
        <v>0.3</v>
      </c>
      <c r="Q58" s="1">
        <f>IF(N58="No Data","No Data",N58/(8-IF(N58&lt;8,VLOOKUP($A58,'Data Gaps'!$A:$N,4,FALSE),0)))</f>
        <v>0.6875</v>
      </c>
      <c r="R58" s="1">
        <f>IF(O58="No Data","No Data",O58/(12-IF(O58&lt;12,VLOOKUP($A58,'Data Gaps'!$A:$N,5,FALSE),0)))</f>
        <v>0.25</v>
      </c>
      <c r="S58" s="32">
        <f t="shared" si="3"/>
        <v>48.816293763643287</v>
      </c>
    </row>
    <row r="59" spans="1:19" x14ac:dyDescent="0.35">
      <c r="A59" s="1" t="s">
        <v>98</v>
      </c>
      <c r="B59" s="28" t="s">
        <v>99</v>
      </c>
      <c r="C59" s="1" t="s">
        <v>21</v>
      </c>
      <c r="D59" s="1" t="s">
        <v>22</v>
      </c>
      <c r="E59" s="28" t="s">
        <v>9</v>
      </c>
      <c r="F59" s="28" t="s">
        <v>160</v>
      </c>
      <c r="G59" s="28" t="str">
        <f>VLOOKUP($A59,'EBA2017'!$A:$G,7,FALSE)</f>
        <v>Two</v>
      </c>
      <c r="H59" s="32">
        <f>VLOOKUP($A59,Calculator!$A:$N,13,FALSE)</f>
        <v>650</v>
      </c>
      <c r="I59" s="1">
        <f t="shared" si="2"/>
        <v>0.11967988359403375</v>
      </c>
      <c r="J59" s="1">
        <f>VLOOKUP($A59,Calculator!$A:$N,14,FALSE)</f>
        <v>786.85567010309273</v>
      </c>
      <c r="K59" s="1">
        <f t="shared" si="4"/>
        <v>0.18856941534966909</v>
      </c>
      <c r="L59" s="1">
        <f t="shared" si="5"/>
        <v>0.15412464947185142</v>
      </c>
      <c r="M59" s="32">
        <f>VLOOKUP(A59,Calculator!A:N,10,FALSE)</f>
        <v>7</v>
      </c>
      <c r="N59" s="1">
        <f>VLOOKUP(A59,Calculator!A:N,11,FALSE)</f>
        <v>6.5</v>
      </c>
      <c r="O59" s="1">
        <f>VLOOKUP(A59,Calculator!A:N,12,FALSE)</f>
        <v>3</v>
      </c>
      <c r="P59" s="32">
        <f>IF(M59="No Data","No Data",M59/(10-IF(M59&lt;10,VLOOKUP($A59,'Data Gaps'!$A:$N,3,FALSE),0)))</f>
        <v>0.7</v>
      </c>
      <c r="Q59" s="1">
        <f>IF(N59="No Data","No Data",N59/(8-IF(N59&lt;8,VLOOKUP($A59,'Data Gaps'!$A:$N,4,FALSE),0)))</f>
        <v>0.8125</v>
      </c>
      <c r="R59" s="1">
        <f>IF(O59="No Data","No Data",O59/(12-IF(O59&lt;12,VLOOKUP($A59,'Data Gaps'!$A:$N,5,FALSE),0)))</f>
        <v>0.25</v>
      </c>
      <c r="S59" s="32">
        <f t="shared" si="3"/>
        <v>47.915616236796289</v>
      </c>
    </row>
    <row r="60" spans="1:19" x14ac:dyDescent="0.35">
      <c r="A60" s="1" t="s">
        <v>106</v>
      </c>
      <c r="B60" s="28" t="s">
        <v>107</v>
      </c>
      <c r="C60" s="1" t="s">
        <v>32</v>
      </c>
      <c r="D60" s="1" t="s">
        <v>33</v>
      </c>
      <c r="E60" s="29" t="s">
        <v>9</v>
      </c>
      <c r="F60" s="28" t="s">
        <v>159</v>
      </c>
      <c r="G60" s="28" t="str">
        <f>VLOOKUP($A60,'EBA2017'!$A:$G,7,FALSE)</f>
        <v>Two</v>
      </c>
      <c r="H60" s="32">
        <f>VLOOKUP($A60,Calculator!$A:$N,13,FALSE)</f>
        <v>570</v>
      </c>
      <c r="I60" s="1">
        <f t="shared" si="2"/>
        <v>0.26518734085121826</v>
      </c>
      <c r="J60" s="1">
        <f>VLOOKUP($A60,Calculator!$A:$N,14,FALSE)</f>
        <v>1.5066700924021341</v>
      </c>
      <c r="K60" s="1">
        <f t="shared" si="4"/>
        <v>0.99844627389697416</v>
      </c>
      <c r="L60" s="1">
        <f t="shared" si="5"/>
        <v>0.63181680737409618</v>
      </c>
      <c r="M60" s="32">
        <f>VLOOKUP(A60,Calculator!A:N,10,FALSE)</f>
        <v>10</v>
      </c>
      <c r="N60" s="1">
        <f>VLOOKUP(A60,Calculator!A:N,11,FALSE)</f>
        <v>6.5</v>
      </c>
      <c r="O60" s="1">
        <f>VLOOKUP(A60,Calculator!A:N,12,FALSE)</f>
        <v>5.25</v>
      </c>
      <c r="P60" s="32">
        <f>IF(M60="No Data","No Data",M60/(10-IF(M60&lt;10,VLOOKUP($A60,'Data Gaps'!$A:$N,3,FALSE),0)))</f>
        <v>1</v>
      </c>
      <c r="Q60" s="1">
        <f>IF(N60="No Data","No Data",N60/(8-IF(N60&lt;8,VLOOKUP($A60,'Data Gaps'!$A:$N,4,FALSE),0)))</f>
        <v>0.8125</v>
      </c>
      <c r="R60" s="1">
        <f>IF(O60="No Data","No Data",O60/(12-IF(O60&lt;12,VLOOKUP($A60,'Data Gaps'!$A:$N,5,FALSE),0)))</f>
        <v>0.44680851063829785</v>
      </c>
      <c r="S60" s="32">
        <f t="shared" si="3"/>
        <v>72.278132950309853</v>
      </c>
    </row>
    <row r="61" spans="1:19" x14ac:dyDescent="0.35">
      <c r="A61" s="1" t="s">
        <v>124</v>
      </c>
      <c r="B61" s="28" t="s">
        <v>125</v>
      </c>
      <c r="C61" s="1" t="s">
        <v>16</v>
      </c>
      <c r="D61" s="1" t="s">
        <v>17</v>
      </c>
      <c r="E61" s="29" t="s">
        <v>9</v>
      </c>
      <c r="F61" s="28" t="s">
        <v>160</v>
      </c>
      <c r="G61" s="28" t="str">
        <f>VLOOKUP($A61,'EBA2017'!$A:$G,7,FALSE)</f>
        <v>Two</v>
      </c>
      <c r="H61" s="32">
        <f>VLOOKUP($A61,Calculator!$A:$N,13,FALSE)</f>
        <v>654</v>
      </c>
      <c r="I61" s="1">
        <f t="shared" si="2"/>
        <v>0.11240451073117454</v>
      </c>
      <c r="J61" s="1">
        <f>VLOOKUP($A61,Calculator!$A:$N,14,FALSE)</f>
        <v>620.66555118923702</v>
      </c>
      <c r="K61" s="1">
        <f t="shared" si="4"/>
        <v>0.35994994989637941</v>
      </c>
      <c r="L61" s="1">
        <f t="shared" si="5"/>
        <v>0.23617723031377696</v>
      </c>
      <c r="M61" s="32">
        <f>VLOOKUP(A61,Calculator!A:N,10,FALSE)</f>
        <v>8</v>
      </c>
      <c r="N61" s="1">
        <f>VLOOKUP(A61,Calculator!A:N,11,FALSE)</f>
        <v>4.5</v>
      </c>
      <c r="O61" s="1">
        <f>VLOOKUP(A61,Calculator!A:N,12,FALSE)</f>
        <v>4.5</v>
      </c>
      <c r="P61" s="32">
        <f>IF(M61="No Data","No Data",M61/(10-IF(M61&lt;10,VLOOKUP($A61,'Data Gaps'!$A:$N,3,FALSE),0)))</f>
        <v>0.8</v>
      </c>
      <c r="Q61" s="1">
        <f>IF(N61="No Data","No Data",N61/(8-IF(N61&lt;8,VLOOKUP($A61,'Data Gaps'!$A:$N,4,FALSE),0)))</f>
        <v>0.5625</v>
      </c>
      <c r="R61" s="1">
        <f>IF(O61="No Data","No Data",O61/(12-IF(O61&lt;12,VLOOKUP($A61,'Data Gaps'!$A:$N,5,FALSE),0)))</f>
        <v>0.375</v>
      </c>
      <c r="S61" s="32">
        <f t="shared" si="3"/>
        <v>49.341930757844423</v>
      </c>
    </row>
    <row r="62" spans="1:19" x14ac:dyDescent="0.35">
      <c r="A62" s="1" t="s">
        <v>130</v>
      </c>
      <c r="B62" s="28" t="s">
        <v>131</v>
      </c>
      <c r="C62" s="1" t="s">
        <v>32</v>
      </c>
      <c r="D62" s="1" t="s">
        <v>33</v>
      </c>
      <c r="E62" s="29" t="s">
        <v>25</v>
      </c>
      <c r="F62" s="28" t="s">
        <v>161</v>
      </c>
      <c r="G62" s="28" t="str">
        <f>VLOOKUP($A62,'EBA2017'!$A:$G,7,FALSE)</f>
        <v>Two</v>
      </c>
      <c r="H62" s="32">
        <f>VLOOKUP($A62,Calculator!$A:$N,13,FALSE)</f>
        <v>327</v>
      </c>
      <c r="I62" s="1">
        <f t="shared" si="2"/>
        <v>0.7071662422699162</v>
      </c>
      <c r="J62" s="1">
        <f>VLOOKUP($A62,Calculator!$A:$N,14,FALSE)</f>
        <v>7.2903383858726007</v>
      </c>
      <c r="K62" s="1">
        <f t="shared" si="4"/>
        <v>0.99248197126421889</v>
      </c>
      <c r="L62" s="1">
        <f t="shared" si="5"/>
        <v>0.84982410676706754</v>
      </c>
      <c r="M62" s="32">
        <f>VLOOKUP(A62,Calculator!A:N,10,FALSE)</f>
        <v>8</v>
      </c>
      <c r="N62" s="1">
        <f>VLOOKUP(A62,Calculator!A:N,11,FALSE)</f>
        <v>3</v>
      </c>
      <c r="O62" s="1">
        <f>VLOOKUP(A62,Calculator!A:N,12,FALSE)</f>
        <v>3</v>
      </c>
      <c r="P62" s="32">
        <f>IF(M62="No Data","No Data",M62/(10-IF(M62&lt;10,VLOOKUP($A62,'Data Gaps'!$A:$N,3,FALSE),0)))</f>
        <v>0.8</v>
      </c>
      <c r="Q62" s="1">
        <f>IF(N62="No Data","No Data",N62/(8-IF(N62&lt;8,VLOOKUP($A62,'Data Gaps'!$A:$N,4,FALSE),0)))</f>
        <v>0.375</v>
      </c>
      <c r="R62" s="1">
        <f>IF(O62="No Data","No Data",O62/(12-IF(O62&lt;12,VLOOKUP($A62,'Data Gaps'!$A:$N,5,FALSE),0)))</f>
        <v>0.25</v>
      </c>
      <c r="S62" s="32">
        <f t="shared" si="3"/>
        <v>56.870602669176698</v>
      </c>
    </row>
    <row r="63" spans="1:19" x14ac:dyDescent="0.35">
      <c r="A63" s="1" t="s">
        <v>128</v>
      </c>
      <c r="B63" s="28" t="s">
        <v>129</v>
      </c>
      <c r="C63" s="1" t="s">
        <v>16</v>
      </c>
      <c r="D63" s="1" t="s">
        <v>17</v>
      </c>
      <c r="E63" s="29" t="s">
        <v>18</v>
      </c>
      <c r="F63" s="28" t="s">
        <v>159</v>
      </c>
      <c r="G63" s="28" t="str">
        <f>VLOOKUP($A63,'EBA2017'!$A:$G,7,FALSE)</f>
        <v>Two</v>
      </c>
      <c r="H63" s="32">
        <f>VLOOKUP($A63,Calculator!$A:$N,13,FALSE)</f>
        <v>333</v>
      </c>
      <c r="I63" s="1">
        <f t="shared" si="2"/>
        <v>0.69625318297562733</v>
      </c>
      <c r="J63" s="1">
        <f>VLOOKUP($A63,Calculator!$A:$N,14,FALSE)</f>
        <v>65.108755387015222</v>
      </c>
      <c r="K63" s="1">
        <f t="shared" si="4"/>
        <v>0.93285778134811015</v>
      </c>
      <c r="L63" s="1">
        <f t="shared" si="5"/>
        <v>0.81455548216186879</v>
      </c>
      <c r="M63" s="32">
        <f>VLOOKUP(A63,Calculator!A:N,10,FALSE)</f>
        <v>9</v>
      </c>
      <c r="N63" s="1">
        <f>VLOOKUP(A63,Calculator!A:N,11,FALSE)</f>
        <v>4</v>
      </c>
      <c r="O63" s="1">
        <f>VLOOKUP(A63,Calculator!A:N,12,FALSE)</f>
        <v>6.5</v>
      </c>
      <c r="P63" s="32">
        <f>IF(M63="No Data","No Data",M63/(10-IF(M63&lt;10,VLOOKUP($A63,'Data Gaps'!$A:$N,3,FALSE),0)))</f>
        <v>0.9</v>
      </c>
      <c r="Q63" s="1">
        <f>IF(N63="No Data","No Data",N63/(8-IF(N63&lt;8,VLOOKUP($A63,'Data Gaps'!$A:$N,4,FALSE),0)))</f>
        <v>0.5</v>
      </c>
      <c r="R63" s="1">
        <f>IF(O63="No Data","No Data",O63/(12-IF(O63&lt;12,VLOOKUP($A63,'Data Gaps'!$A:$N,5,FALSE),0)))</f>
        <v>0.54166666666666663</v>
      </c>
      <c r="S63" s="32">
        <f t="shared" si="3"/>
        <v>68.905553720713385</v>
      </c>
    </row>
    <row r="64" spans="1:19" x14ac:dyDescent="0.35">
      <c r="A64" s="1" t="s">
        <v>134</v>
      </c>
      <c r="B64" s="28" t="s">
        <v>135</v>
      </c>
      <c r="C64" s="1" t="s">
        <v>16</v>
      </c>
      <c r="D64" s="1" t="s">
        <v>17</v>
      </c>
      <c r="E64" s="28" t="s">
        <v>18</v>
      </c>
      <c r="F64" s="28" t="s">
        <v>160</v>
      </c>
      <c r="G64" s="28" t="str">
        <f>VLOOKUP($A64,'EBA2017'!$A:$G,7,FALSE)</f>
        <v>Two</v>
      </c>
      <c r="H64" s="32">
        <f>VLOOKUP($A64,Calculator!$A:$N,13,FALSE)</f>
        <v>523</v>
      </c>
      <c r="I64" s="1">
        <f t="shared" si="2"/>
        <v>0.35067297198981418</v>
      </c>
      <c r="J64" s="1">
        <f>VLOOKUP($A64,Calculator!$A:$N,14,FALSE)</f>
        <v>0</v>
      </c>
      <c r="K64" s="1">
        <f t="shared" si="4"/>
        <v>1</v>
      </c>
      <c r="L64" s="1">
        <f t="shared" si="5"/>
        <v>0.67533648599490714</v>
      </c>
      <c r="M64" s="32">
        <f>VLOOKUP(A64,Calculator!A:N,10,FALSE)</f>
        <v>7</v>
      </c>
      <c r="N64" s="1">
        <f>VLOOKUP(A64,Calculator!A:N,11,FALSE)</f>
        <v>5.5</v>
      </c>
      <c r="O64" s="1">
        <f>VLOOKUP(A64,Calculator!A:N,12,FALSE)</f>
        <v>3</v>
      </c>
      <c r="P64" s="32">
        <f>IF(M64="No Data","No Data",M64/(10-IF(M64&lt;10,VLOOKUP($A64,'Data Gaps'!$A:$N,3,FALSE),0)))</f>
        <v>0.7</v>
      </c>
      <c r="Q64" s="1">
        <f>IF(N64="No Data","No Data",N64/(8-IF(N64&lt;8,VLOOKUP($A64,'Data Gaps'!$A:$N,4,FALSE),0)))</f>
        <v>0.6875</v>
      </c>
      <c r="R64" s="1">
        <f>IF(O64="No Data","No Data",O64/(12-IF(O64&lt;12,VLOOKUP($A64,'Data Gaps'!$A:$N,5,FALSE),0)))</f>
        <v>0.25</v>
      </c>
      <c r="S64" s="32">
        <f t="shared" si="3"/>
        <v>57.820912149872683</v>
      </c>
    </row>
    <row r="65" spans="1:19" x14ac:dyDescent="0.35">
      <c r="A65" s="1" t="s">
        <v>138</v>
      </c>
      <c r="B65" s="28" t="s">
        <v>139</v>
      </c>
      <c r="C65" s="1" t="s">
        <v>21</v>
      </c>
      <c r="D65" s="1" t="s">
        <v>22</v>
      </c>
      <c r="E65" s="28" t="s">
        <v>40</v>
      </c>
      <c r="F65" s="28" t="s">
        <v>160</v>
      </c>
      <c r="G65" s="28" t="str">
        <f>VLOOKUP($A65,'EBA2017'!$A:$G,7,FALSE)</f>
        <v>Two</v>
      </c>
      <c r="H65" s="32">
        <f>VLOOKUP($A65,Calculator!$A:$N,13,FALSE)</f>
        <v>305</v>
      </c>
      <c r="I65" s="1">
        <f t="shared" si="2"/>
        <v>0.74718079301564189</v>
      </c>
      <c r="J65" s="1">
        <f>VLOOKUP($A65,Calculator!$A:$N,14,FALSE)</f>
        <v>4.9781873335624134</v>
      </c>
      <c r="K65" s="1">
        <f t="shared" si="4"/>
        <v>0.99486633494292265</v>
      </c>
      <c r="L65" s="1">
        <f t="shared" si="5"/>
        <v>0.87102356397928227</v>
      </c>
      <c r="M65" s="32">
        <f>VLOOKUP(A65,Calculator!A:N,10,FALSE)</f>
        <v>10</v>
      </c>
      <c r="N65" s="1">
        <f>VLOOKUP(A65,Calculator!A:N,11,FALSE)</f>
        <v>4</v>
      </c>
      <c r="O65" s="1">
        <f>VLOOKUP(A65,Calculator!A:N,12,FALSE)</f>
        <v>8.25</v>
      </c>
      <c r="P65" s="32">
        <f>IF(M65="No Data","No Data",M65/(10-IF(M65&lt;10,VLOOKUP($A65,'Data Gaps'!$A:$N,3,FALSE),0)))</f>
        <v>1</v>
      </c>
      <c r="Q65" s="1">
        <f>IF(N65="No Data","No Data",N65/(8-IF(N65&lt;8,VLOOKUP($A65,'Data Gaps'!$A:$N,4,FALSE),0)))</f>
        <v>0.5</v>
      </c>
      <c r="R65" s="1">
        <f>IF(O65="No Data","No Data",O65/(12-IF(O65&lt;12,VLOOKUP($A65,'Data Gaps'!$A:$N,5,FALSE),0)))</f>
        <v>0.6875</v>
      </c>
      <c r="S65" s="32">
        <f t="shared" si="3"/>
        <v>76.463089099482048</v>
      </c>
    </row>
    <row r="66" spans="1:19" x14ac:dyDescent="0.35">
      <c r="A66" s="1" t="s">
        <v>140</v>
      </c>
      <c r="B66" s="28" t="s">
        <v>141</v>
      </c>
      <c r="C66" s="1" t="s">
        <v>32</v>
      </c>
      <c r="D66" s="1" t="s">
        <v>33</v>
      </c>
      <c r="E66" s="28" t="s">
        <v>9</v>
      </c>
      <c r="F66" s="28" t="s">
        <v>162</v>
      </c>
      <c r="G66" s="28" t="str">
        <f>VLOOKUP($A66,'EBA2017'!$A:$G,7,FALSE)</f>
        <v>Two</v>
      </c>
      <c r="H66" s="32">
        <f>VLOOKUP($A66,Calculator!$A:$N,13,FALSE)</f>
        <v>901</v>
      </c>
      <c r="I66" s="1">
        <f t="shared" si="2"/>
        <v>0</v>
      </c>
      <c r="J66" s="1">
        <f>VLOOKUP($A66,Calculator!$A:$N,14,FALSE)</f>
        <v>406.21881409881706</v>
      </c>
      <c r="K66" s="1">
        <f t="shared" si="4"/>
        <v>0.58109424339919791</v>
      </c>
      <c r="L66" s="1">
        <f t="shared" si="5"/>
        <v>0.29054712169959895</v>
      </c>
      <c r="M66" s="32">
        <f>VLOOKUP(A66,Calculator!A:N,10,FALSE)</f>
        <v>6</v>
      </c>
      <c r="N66" s="1">
        <f>VLOOKUP(A66,Calculator!A:N,11,FALSE)</f>
        <v>5</v>
      </c>
      <c r="O66" s="1">
        <f>VLOOKUP(A66,Calculator!A:N,12,FALSE)</f>
        <v>5</v>
      </c>
      <c r="P66" s="32">
        <f>IF(M66="No Data","No Data",M66/(10-IF(M66&lt;10,VLOOKUP($A66,'Data Gaps'!$A:$N,3,FALSE),0)))</f>
        <v>0.6</v>
      </c>
      <c r="Q66" s="1">
        <f>IF(N66="No Data","No Data",N66/(8-IF(N66&lt;8,VLOOKUP($A66,'Data Gaps'!$A:$N,4,FALSE),0)))</f>
        <v>0.625</v>
      </c>
      <c r="R66" s="1">
        <f>IF(O66="No Data","No Data",O66/(12-IF(O66&lt;12,VLOOKUP($A66,'Data Gaps'!$A:$N,5,FALSE),0)))</f>
        <v>0.41666666666666669</v>
      </c>
      <c r="S66" s="32">
        <f t="shared" si="3"/>
        <v>48.305344709156643</v>
      </c>
    </row>
    <row r="67" spans="1:19" x14ac:dyDescent="0.35">
      <c r="A67" s="1" t="s">
        <v>142</v>
      </c>
      <c r="B67" s="28" t="s">
        <v>143</v>
      </c>
      <c r="C67" s="1" t="s">
        <v>16</v>
      </c>
      <c r="D67" s="1" t="s">
        <v>17</v>
      </c>
      <c r="E67" s="28" t="s">
        <v>9</v>
      </c>
      <c r="F67" s="28" t="s">
        <v>162</v>
      </c>
      <c r="G67" s="28" t="str">
        <f>VLOOKUP($A67,'EBA2017'!$A:$G,7,FALSE)</f>
        <v>Two</v>
      </c>
      <c r="H67" s="32">
        <f>VLOOKUP($A67,Calculator!$A:$N,13,FALSE)</f>
        <v>544</v>
      </c>
      <c r="I67" s="1">
        <f t="shared" si="2"/>
        <v>0.31247726445980323</v>
      </c>
      <c r="J67" s="1">
        <f>VLOOKUP($A67,Calculator!$A:$N,14,FALSE)</f>
        <v>70.134228187919462</v>
      </c>
      <c r="K67" s="1">
        <f t="shared" si="4"/>
        <v>0.92767535401369472</v>
      </c>
      <c r="L67" s="1">
        <f t="shared" si="5"/>
        <v>0.62007630923674895</v>
      </c>
      <c r="M67" s="32">
        <f>VLOOKUP(A67,Calculator!A:N,10,FALSE)</f>
        <v>8</v>
      </c>
      <c r="N67" s="1">
        <f>VLOOKUP(A67,Calculator!A:N,11,FALSE)</f>
        <v>5.5</v>
      </c>
      <c r="O67" s="1">
        <f>VLOOKUP(A67,Calculator!A:N,12,FALSE)</f>
        <v>8</v>
      </c>
      <c r="P67" s="32">
        <f>IF(M67="No Data","No Data",M67/(10-IF(M67&lt;10,VLOOKUP($A67,'Data Gaps'!$A:$N,3,FALSE),0)))</f>
        <v>0.8</v>
      </c>
      <c r="Q67" s="1">
        <f>IF(N67="No Data","No Data",N67/(8-IF(N67&lt;8,VLOOKUP($A67,'Data Gaps'!$A:$N,4,FALSE),0)))</f>
        <v>0.6875</v>
      </c>
      <c r="R67" s="1">
        <f>IF(O67="No Data","No Data",O67/(12-IF(O67&lt;12,VLOOKUP($A67,'Data Gaps'!$A:$N,5,FALSE),0)))</f>
        <v>0.66666666666666663</v>
      </c>
      <c r="S67" s="32">
        <f t="shared" si="3"/>
        <v>69.356074397585388</v>
      </c>
    </row>
    <row r="68" spans="1:19" x14ac:dyDescent="0.35">
      <c r="A68" s="1" t="s">
        <v>144</v>
      </c>
      <c r="B68" s="28" t="s">
        <v>145</v>
      </c>
      <c r="C68" s="1" t="s">
        <v>16</v>
      </c>
      <c r="D68" s="1" t="s">
        <v>17</v>
      </c>
      <c r="E68" s="28" t="s">
        <v>18</v>
      </c>
      <c r="F68" s="28" t="s">
        <v>160</v>
      </c>
      <c r="G68" s="28" t="str">
        <f>VLOOKUP($A68,'EBA2017'!$A:$G,7,FALSE)</f>
        <v>Two</v>
      </c>
      <c r="H68" s="32">
        <f>VLOOKUP($A68,Calculator!$A:$N,13,FALSE)</f>
        <v>607</v>
      </c>
      <c r="I68" s="1">
        <f t="shared" si="2"/>
        <v>0.19789014186977041</v>
      </c>
      <c r="J68" s="1">
        <f>VLOOKUP($A68,Calculator!$A:$N,14,FALSE)</f>
        <v>41.17647058823529</v>
      </c>
      <c r="K68" s="1">
        <f t="shared" si="4"/>
        <v>0.95753751434634604</v>
      </c>
      <c r="L68" s="1">
        <f t="shared" si="5"/>
        <v>0.57771382810805827</v>
      </c>
      <c r="M68" s="32">
        <f>VLOOKUP(A68,Calculator!A:N,10,FALSE)</f>
        <v>10</v>
      </c>
      <c r="N68" s="1">
        <f>VLOOKUP(A68,Calculator!A:N,11,FALSE)</f>
        <v>4</v>
      </c>
      <c r="O68" s="1">
        <f>VLOOKUP(A68,Calculator!A:N,12,FALSE)</f>
        <v>8.5</v>
      </c>
      <c r="P68" s="32">
        <f>IF(M68="No Data","No Data",M68/(10-IF(M68&lt;10,VLOOKUP($A68,'Data Gaps'!$A:$N,3,FALSE),0)))</f>
        <v>1</v>
      </c>
      <c r="Q68" s="1">
        <f>IF(N68="No Data","No Data",N68/(8-IF(N68&lt;8,VLOOKUP($A68,'Data Gaps'!$A:$N,4,FALSE),0)))</f>
        <v>0.5</v>
      </c>
      <c r="R68" s="1">
        <f>IF(O68="No Data","No Data",O68/(12-IF(O68&lt;12,VLOOKUP($A68,'Data Gaps'!$A:$N,5,FALSE),0)))</f>
        <v>0.70833333333333337</v>
      </c>
      <c r="S68" s="32">
        <f t="shared" si="3"/>
        <v>69.65117903603479</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workbookViewId="0">
      <pane xSplit="1" ySplit="4" topLeftCell="B5" activePane="bottomRight" state="frozen"/>
      <selection pane="topRight" activeCell="B1" sqref="B1"/>
      <selection pane="bottomLeft" activeCell="A5" sqref="A5"/>
      <selection pane="bottomRight" activeCell="P5" sqref="P5:R66"/>
    </sheetView>
  </sheetViews>
  <sheetFormatPr defaultRowHeight="14.5" x14ac:dyDescent="0.35"/>
  <cols>
    <col min="1" max="1" width="29.453125" customWidth="1"/>
    <col min="5" max="5" width="15.7265625" bestFit="1" customWidth="1"/>
    <col min="6" max="7" width="15.7265625" customWidth="1"/>
    <col min="8" max="8" width="10.7265625" style="33" customWidth="1"/>
    <col min="9" max="9" width="10.1796875" customWidth="1"/>
    <col min="10" max="11" width="10.7265625" customWidth="1"/>
    <col min="13" max="13" width="8.7265625" style="33"/>
    <col min="16" max="16" width="8.7265625" style="33"/>
    <col min="19" max="20" width="8.7265625" style="33"/>
  </cols>
  <sheetData>
    <row r="1" spans="1:20" x14ac:dyDescent="0.35">
      <c r="A1" s="1">
        <f>COLUMN()</f>
        <v>1</v>
      </c>
      <c r="B1" s="1">
        <f>COLUMN()</f>
        <v>2</v>
      </c>
      <c r="C1" s="1">
        <f>COLUMN()</f>
        <v>3</v>
      </c>
      <c r="D1" s="1">
        <f>COLUMN()</f>
        <v>4</v>
      </c>
      <c r="E1" s="1">
        <f>COLUMN()</f>
        <v>5</v>
      </c>
      <c r="F1" s="1">
        <f>COLUMN()</f>
        <v>6</v>
      </c>
      <c r="G1" s="1">
        <f>COLUMN()</f>
        <v>7</v>
      </c>
      <c r="H1" s="32">
        <f>COLUMN()</f>
        <v>8</v>
      </c>
      <c r="I1" s="1">
        <f>COLUMN()</f>
        <v>9</v>
      </c>
      <c r="J1" s="1">
        <f>COLUMN()</f>
        <v>10</v>
      </c>
      <c r="K1" s="1">
        <f>COLUMN()</f>
        <v>11</v>
      </c>
      <c r="L1" s="1">
        <f>COLUMN()</f>
        <v>12</v>
      </c>
      <c r="M1" s="32">
        <f>COLUMN()</f>
        <v>13</v>
      </c>
      <c r="N1" s="1">
        <f>COLUMN()</f>
        <v>14</v>
      </c>
      <c r="O1" s="1">
        <f>COLUMN()</f>
        <v>15</v>
      </c>
      <c r="P1" s="32">
        <f>COLUMN()</f>
        <v>16</v>
      </c>
      <c r="Q1" s="1">
        <f>COLUMN()</f>
        <v>17</v>
      </c>
      <c r="R1" s="1">
        <f>COLUMN()</f>
        <v>18</v>
      </c>
      <c r="S1" s="32">
        <f>COLUMN()</f>
        <v>19</v>
      </c>
      <c r="T1" s="32"/>
    </row>
    <row r="2" spans="1:20" x14ac:dyDescent="0.35">
      <c r="A2" s="1" t="s">
        <v>235</v>
      </c>
      <c r="B2" s="1"/>
      <c r="C2" s="1"/>
      <c r="D2" s="1"/>
      <c r="E2" s="1"/>
      <c r="F2" s="1"/>
      <c r="G2" s="1"/>
      <c r="H2" s="32">
        <f>PERCENTILE(H5:H66,0.95)</f>
        <v>953.99999999999955</v>
      </c>
      <c r="I2" s="1"/>
      <c r="J2" s="1">
        <f>PERCENTILE(J5:J66,0.95)</f>
        <v>845.7727569154589</v>
      </c>
      <c r="K2" s="1"/>
    </row>
    <row r="3" spans="1:20" x14ac:dyDescent="0.35">
      <c r="A3" s="1" t="s">
        <v>236</v>
      </c>
      <c r="B3" s="1"/>
      <c r="C3" s="1"/>
      <c r="D3" s="1"/>
      <c r="E3" s="1"/>
      <c r="F3" s="1"/>
      <c r="G3" s="1"/>
      <c r="H3" s="32">
        <f>MIN(H5:H66)</f>
        <v>11</v>
      </c>
      <c r="I3" s="1"/>
      <c r="J3" s="1">
        <f>MIN(J5:J66)</f>
        <v>0</v>
      </c>
      <c r="K3" s="1"/>
    </row>
    <row r="4" spans="1:20" ht="73.5" x14ac:dyDescent="0.35">
      <c r="A4" s="25" t="s">
        <v>0</v>
      </c>
      <c r="B4" s="25" t="s">
        <v>1</v>
      </c>
      <c r="C4" s="25" t="s">
        <v>2</v>
      </c>
      <c r="D4" s="25" t="s">
        <v>3</v>
      </c>
      <c r="E4" s="25" t="s">
        <v>4</v>
      </c>
      <c r="F4" s="25" t="s">
        <v>156</v>
      </c>
      <c r="G4" s="25" t="s">
        <v>157</v>
      </c>
      <c r="H4" s="36" t="s">
        <v>237</v>
      </c>
      <c r="I4" s="27" t="s">
        <v>230</v>
      </c>
      <c r="J4" s="26" t="s">
        <v>238</v>
      </c>
      <c r="K4" s="27" t="s">
        <v>232</v>
      </c>
      <c r="L4" s="27" t="s">
        <v>243</v>
      </c>
      <c r="M4" s="34" t="s">
        <v>251</v>
      </c>
      <c r="N4" s="7" t="s">
        <v>252</v>
      </c>
      <c r="O4" s="35" t="s">
        <v>253</v>
      </c>
      <c r="P4" s="34" t="s">
        <v>254</v>
      </c>
      <c r="Q4" s="7" t="s">
        <v>255</v>
      </c>
      <c r="R4" s="35" t="s">
        <v>256</v>
      </c>
      <c r="S4" s="37" t="s">
        <v>244</v>
      </c>
    </row>
    <row r="5" spans="1:20" x14ac:dyDescent="0.35">
      <c r="A5" s="1" t="s">
        <v>5</v>
      </c>
      <c r="B5" s="28" t="s">
        <v>6</v>
      </c>
      <c r="C5" s="1" t="s">
        <v>7</v>
      </c>
      <c r="D5" s="1" t="s">
        <v>8</v>
      </c>
      <c r="E5" s="28" t="s">
        <v>9</v>
      </c>
      <c r="F5" s="28" t="s">
        <v>159</v>
      </c>
      <c r="G5" s="28" t="str">
        <f>VLOOKUP($A5,'EBA2017'!$A:$G,7,FALSE)</f>
        <v>One</v>
      </c>
      <c r="H5" s="32" t="str">
        <f>VLOOKUP($A5,'EBA2017'!$A:$T,20,FALSE)</f>
        <v>N/A</v>
      </c>
      <c r="I5" s="28">
        <f>IF(H5="No data","No data",IF(OR(H5="No practice",H5="N/A",H5&gt;$H$2),0,($H$2-H5)/($H$2-$H$3)))</f>
        <v>0</v>
      </c>
      <c r="J5" s="1" t="str">
        <f>VLOOKUP($A5,'EBA2017'!$A:$U,21,FALSE)</f>
        <v>N/A</v>
      </c>
      <c r="K5" s="28">
        <f>IF(J5="No data","No data",IF(OR(J5="No practice",J5="N/A",J5&gt;$J$2),0,($J$2-J5)/($J$2-$J$3)))</f>
        <v>0</v>
      </c>
      <c r="L5" s="1">
        <f t="shared" ref="L5:L36" si="0">AVERAGE(I5,K5)</f>
        <v>0</v>
      </c>
      <c r="M5" s="32">
        <f>VLOOKUP($A5,'EBA2017'!$A:$Z,17,FALSE)</f>
        <v>0</v>
      </c>
      <c r="N5" s="1">
        <f>VLOOKUP($A5,'EBA2017'!$A:$Z,18,FALSE)</f>
        <v>2</v>
      </c>
      <c r="O5" s="1">
        <f>VLOOKUP($A5,'EBA2017'!$A:$Z,19,FALSE)</f>
        <v>6</v>
      </c>
      <c r="P5" s="32">
        <f>IF(M5="No Data","No Data",M5/(7-IF(M5&lt;7,VLOOKUP($A5,'Data Gaps'!$A:$N,6,FALSE),0)))</f>
        <v>0</v>
      </c>
      <c r="Q5" s="1">
        <f>IF(N5="No Data","No Data",N5/(7-IF(N5&lt;7,VLOOKUP($A5,'Data Gaps'!$A:$N,7,FALSE),0)))</f>
        <v>0.2857142857142857</v>
      </c>
      <c r="R5" s="1">
        <f>IF(O5="No Data","No Data",O5/(7-IF(O5&lt;7,VLOOKUP($A5,'Data Gaps'!$A:$N,8,FALSE),0)))</f>
        <v>0.8571428571428571</v>
      </c>
      <c r="S5" s="32">
        <f>100*AVERAGE(L5,P5,Q5,R5)</f>
        <v>28.571428571428569</v>
      </c>
    </row>
    <row r="6" spans="1:20" x14ac:dyDescent="0.35">
      <c r="A6" s="1" t="s">
        <v>23</v>
      </c>
      <c r="B6" s="28" t="s">
        <v>24</v>
      </c>
      <c r="C6" s="1" t="s">
        <v>7</v>
      </c>
      <c r="D6" s="1" t="s">
        <v>8</v>
      </c>
      <c r="E6" s="29" t="s">
        <v>25</v>
      </c>
      <c r="F6" s="28" t="s">
        <v>161</v>
      </c>
      <c r="G6" s="28" t="str">
        <f>VLOOKUP($A6,'EBA2017'!$A:$G,7,FALSE)</f>
        <v>One</v>
      </c>
      <c r="H6" s="32">
        <f>VLOOKUP($A6,'EBA2017'!$A:$T,20,FALSE)</f>
        <v>31</v>
      </c>
      <c r="I6" s="28">
        <f t="shared" ref="I6:I66" si="1">IF(H6="No data","No data",IF(OR(H6="No practice",H6="N/A",H6&gt;$H$2),0,($H$2-H6)/($H$2-$H$3)))</f>
        <v>0.97879109225874872</v>
      </c>
      <c r="J6" s="1">
        <f>VLOOKUP($A6,'EBA2017'!$A:$U,21,FALSE)</f>
        <v>0.467995248171379</v>
      </c>
      <c r="K6" s="28">
        <f t="shared" ref="K6:K66" si="2">IF(J6="No data","No data",IF(OR(J6="No practice",J6="N/A",J6&gt;$J$2),0,($J$2-J6)/($J$2-$J$3)))</f>
        <v>0.99944666549691408</v>
      </c>
      <c r="L6" s="1">
        <f t="shared" si="0"/>
        <v>0.98911887887783134</v>
      </c>
      <c r="M6" s="32">
        <f>VLOOKUP($A6,'EBA2017'!$A:$Z,17,FALSE)</f>
        <v>6</v>
      </c>
      <c r="N6" s="1">
        <f>VLOOKUP($A6,'EBA2017'!$A:$Z,18,FALSE)</f>
        <v>7</v>
      </c>
      <c r="O6" s="1">
        <f>VLOOKUP($A6,'EBA2017'!$A:$Z,19,FALSE)</f>
        <v>7</v>
      </c>
      <c r="P6" s="32">
        <f>IF(M6="No Data","No Data",M6/(7-IF(M6&lt;7,VLOOKUP($A6,'Data Gaps'!$A:$N,6,FALSE),0)))</f>
        <v>0.8571428571428571</v>
      </c>
      <c r="Q6" s="1">
        <f>IF(N6="No Data","No Data",N6/(7-IF(N6&lt;7,VLOOKUP($A6,'Data Gaps'!$A:$N,7,FALSE),0)))</f>
        <v>1</v>
      </c>
      <c r="R6" s="1">
        <f>IF(O6="No Data","No Data",O6/(7-IF(O6&lt;7,VLOOKUP($A6,'Data Gaps'!$A:$N,8,FALSE),0)))</f>
        <v>1</v>
      </c>
      <c r="S6" s="32">
        <f t="shared" ref="S6:S66" si="3">100*AVERAGE(L6,P6,Q6,R6)</f>
        <v>96.156543400517208</v>
      </c>
    </row>
    <row r="7" spans="1:20" x14ac:dyDescent="0.35">
      <c r="A7" s="1" t="s">
        <v>36</v>
      </c>
      <c r="B7" s="28" t="s">
        <v>37</v>
      </c>
      <c r="C7" s="1" t="s">
        <v>38</v>
      </c>
      <c r="D7" s="1" t="s">
        <v>39</v>
      </c>
      <c r="E7" s="29" t="s">
        <v>40</v>
      </c>
      <c r="F7" s="28" t="s">
        <v>159</v>
      </c>
      <c r="G7" s="28" t="str">
        <f>VLOOKUP($A7,'EBA2017'!$A:$G,7,FALSE)</f>
        <v>One</v>
      </c>
      <c r="H7" s="32" t="str">
        <f>VLOOKUP($A7,'EBA2017'!$A:$T,20,FALSE)</f>
        <v>N/A</v>
      </c>
      <c r="I7" s="28">
        <f t="shared" si="1"/>
        <v>0</v>
      </c>
      <c r="J7" s="1" t="str">
        <f>VLOOKUP($A7,'EBA2017'!$A:$U,21,FALSE)</f>
        <v>N/A</v>
      </c>
      <c r="K7" s="28">
        <f t="shared" si="2"/>
        <v>0</v>
      </c>
      <c r="L7" s="1">
        <f t="shared" si="0"/>
        <v>0</v>
      </c>
      <c r="M7" s="32">
        <f>VLOOKUP($A7,'EBA2017'!$A:$Z,17,FALSE)</f>
        <v>0</v>
      </c>
      <c r="N7" s="1">
        <f>VLOOKUP($A7,'EBA2017'!$A:$Z,18,FALSE)</f>
        <v>3.5</v>
      </c>
      <c r="O7" s="1">
        <f>VLOOKUP($A7,'EBA2017'!$A:$Z,19,FALSE)</f>
        <v>4</v>
      </c>
      <c r="P7" s="32">
        <f>IF(M7="No Data","No Data",M7/(7-IF(M7&lt;7,VLOOKUP($A7,'Data Gaps'!$A:$N,6,FALSE),0)))</f>
        <v>0</v>
      </c>
      <c r="Q7" s="1">
        <f>IF(N7="No Data","No Data",N7/(7-IF(N7&lt;7,VLOOKUP($A7,'Data Gaps'!$A:$N,7,FALSE),0)))</f>
        <v>0.5</v>
      </c>
      <c r="R7" s="1">
        <f>IF(O7="No Data","No Data",O7/(7-IF(O7&lt;7,VLOOKUP($A7,'Data Gaps'!$A:$N,8,FALSE),0)))</f>
        <v>0.5714285714285714</v>
      </c>
      <c r="S7" s="32">
        <f t="shared" si="3"/>
        <v>26.785714285714285</v>
      </c>
    </row>
    <row r="8" spans="1:20" x14ac:dyDescent="0.35">
      <c r="A8" s="1" t="s">
        <v>45</v>
      </c>
      <c r="B8" s="28" t="s">
        <v>46</v>
      </c>
      <c r="C8" s="1" t="s">
        <v>38</v>
      </c>
      <c r="D8" s="1" t="s">
        <v>39</v>
      </c>
      <c r="E8" s="29" t="s">
        <v>40</v>
      </c>
      <c r="F8" s="28" t="s">
        <v>162</v>
      </c>
      <c r="G8" s="28" t="str">
        <f>VLOOKUP($A8,'EBA2017'!$A:$G,7,FALSE)</f>
        <v>One</v>
      </c>
      <c r="H8" s="32">
        <f>VLOOKUP($A8,'EBA2017'!$A:$T,20,FALSE)</f>
        <v>31</v>
      </c>
      <c r="I8" s="28">
        <f t="shared" si="1"/>
        <v>0.97879109225874872</v>
      </c>
      <c r="J8" s="1">
        <f>VLOOKUP($A8,'EBA2017'!$A:$U,21,FALSE)</f>
        <v>0.4263386760504525</v>
      </c>
      <c r="K8" s="28">
        <f t="shared" si="2"/>
        <v>0.9994959181735702</v>
      </c>
      <c r="L8" s="1">
        <f t="shared" si="0"/>
        <v>0.98914350521615946</v>
      </c>
      <c r="M8" s="32">
        <f>VLOOKUP($A8,'EBA2017'!$A:$Z,17,FALSE)</f>
        <v>6.4</v>
      </c>
      <c r="N8" s="1">
        <f>VLOOKUP($A8,'EBA2017'!$A:$Z,18,FALSE)</f>
        <v>6.5</v>
      </c>
      <c r="O8" s="1">
        <f>VLOOKUP($A8,'EBA2017'!$A:$Z,19,FALSE)</f>
        <v>6</v>
      </c>
      <c r="P8" s="32">
        <f>IF(M8="No Data","No Data",M8/(7-IF(M8&lt;7,VLOOKUP($A8,'Data Gaps'!$A:$N,6,FALSE),0)))</f>
        <v>0.91428571428571437</v>
      </c>
      <c r="Q8" s="1">
        <f>IF(N8="No Data","No Data",N8/(7-IF(N8&lt;7,VLOOKUP($A8,'Data Gaps'!$A:$N,7,FALSE),0)))</f>
        <v>0.9285714285714286</v>
      </c>
      <c r="R8" s="1">
        <f>IF(O8="No Data","No Data",O8/(7-IF(O8&lt;7,VLOOKUP($A8,'Data Gaps'!$A:$N,8,FALSE),0)))</f>
        <v>0.8571428571428571</v>
      </c>
      <c r="S8" s="32">
        <f t="shared" si="3"/>
        <v>92.228587630403993</v>
      </c>
    </row>
    <row r="9" spans="1:20" x14ac:dyDescent="0.35">
      <c r="A9" s="1" t="s">
        <v>120</v>
      </c>
      <c r="B9" s="28" t="s">
        <v>121</v>
      </c>
      <c r="C9" s="1" t="s">
        <v>38</v>
      </c>
      <c r="D9" s="1" t="s">
        <v>39</v>
      </c>
      <c r="E9" s="29" t="s">
        <v>40</v>
      </c>
      <c r="F9" s="28" t="s">
        <v>159</v>
      </c>
      <c r="G9" s="28" t="str">
        <f>VLOOKUP($A9,'EBA2017'!$A:$G,7,FALSE)</f>
        <v>One</v>
      </c>
      <c r="H9" s="32">
        <f>VLOOKUP($A9,'EBA2017'!$A:$T,20,FALSE)</f>
        <v>90</v>
      </c>
      <c r="I9" s="28">
        <f t="shared" si="1"/>
        <v>0.91622481442205728</v>
      </c>
      <c r="J9" s="1">
        <f>VLOOKUP($A9,'EBA2017'!$A:$U,21,FALSE)</f>
        <v>0</v>
      </c>
      <c r="K9" s="28">
        <f t="shared" si="2"/>
        <v>1</v>
      </c>
      <c r="L9" s="1">
        <f t="shared" si="0"/>
        <v>0.95811240721102864</v>
      </c>
      <c r="M9" s="32">
        <f>VLOOKUP($A9,'EBA2017'!$A:$Z,17,FALSE)</f>
        <v>5.7999999999999989</v>
      </c>
      <c r="N9" s="1">
        <f>VLOOKUP($A9,'EBA2017'!$A:$Z,18,FALSE)</f>
        <v>7</v>
      </c>
      <c r="O9" s="1">
        <f>VLOOKUP($A9,'EBA2017'!$A:$Z,19,FALSE)</f>
        <v>6</v>
      </c>
      <c r="P9" s="32">
        <f>IF(M9="No Data","No Data",M9/(7-IF(M9&lt;7,VLOOKUP($A9,'Data Gaps'!$A:$N,6,FALSE),0)))</f>
        <v>0.8285714285714284</v>
      </c>
      <c r="Q9" s="1">
        <f>IF(N9="No Data","No Data",N9/(7-IF(N9&lt;7,VLOOKUP($A9,'Data Gaps'!$A:$N,7,FALSE),0)))</f>
        <v>1</v>
      </c>
      <c r="R9" s="1">
        <f>IF(O9="No Data","No Data",O9/(7-IF(O9&lt;7,VLOOKUP($A9,'Data Gaps'!$A:$N,8,FALSE),0)))</f>
        <v>0.8571428571428571</v>
      </c>
      <c r="S9" s="32">
        <f t="shared" si="3"/>
        <v>91.095667323132858</v>
      </c>
    </row>
    <row r="10" spans="1:20" x14ac:dyDescent="0.35">
      <c r="A10" s="1" t="s">
        <v>53</v>
      </c>
      <c r="B10" s="28" t="s">
        <v>54</v>
      </c>
      <c r="C10" s="1" t="s">
        <v>7</v>
      </c>
      <c r="D10" s="1" t="s">
        <v>8</v>
      </c>
      <c r="E10" s="29" t="s">
        <v>25</v>
      </c>
      <c r="F10" s="28" t="s">
        <v>162</v>
      </c>
      <c r="G10" s="28" t="str">
        <f>VLOOKUP($A10,'EBA2017'!$A:$G,7,FALSE)</f>
        <v>One</v>
      </c>
      <c r="H10" s="32">
        <f>VLOOKUP($A10,'EBA2017'!$A:$T,20,FALSE)</f>
        <v>730</v>
      </c>
      <c r="I10" s="28">
        <f t="shared" si="1"/>
        <v>0.23753976670201449</v>
      </c>
      <c r="J10" s="1">
        <f>VLOOKUP($A10,'EBA2017'!$A:$U,21,FALSE)</f>
        <v>16.707331007033982</v>
      </c>
      <c r="K10" s="28">
        <f t="shared" si="2"/>
        <v>0.98024607570954903</v>
      </c>
      <c r="L10" s="1">
        <f t="shared" si="0"/>
        <v>0.60889292120578176</v>
      </c>
      <c r="M10" s="32">
        <f>VLOOKUP($A10,'EBA2017'!$A:$Z,17,FALSE)</f>
        <v>4.4000000000000004</v>
      </c>
      <c r="N10" s="1">
        <f>VLOOKUP($A10,'EBA2017'!$A:$Z,18,FALSE)</f>
        <v>4.5000000000000009</v>
      </c>
      <c r="O10" s="1">
        <f>VLOOKUP($A10,'EBA2017'!$A:$Z,19,FALSE)</f>
        <v>6</v>
      </c>
      <c r="P10" s="32">
        <f>IF(M10="No Data","No Data",M10/(7-IF(M10&lt;7,VLOOKUP($A10,'Data Gaps'!$A:$N,6,FALSE),0)))</f>
        <v>0.62857142857142867</v>
      </c>
      <c r="Q10" s="1">
        <f>IF(N10="No Data","No Data",N10/(7-IF(N10&lt;7,VLOOKUP($A10,'Data Gaps'!$A:$N,7,FALSE),0)))</f>
        <v>0.64285714285714302</v>
      </c>
      <c r="R10" s="1">
        <f>IF(O10="No Data","No Data",O10/(7-IF(O10&lt;7,VLOOKUP($A10,'Data Gaps'!$A:$N,8,FALSE),0)))</f>
        <v>0.8571428571428571</v>
      </c>
      <c r="S10" s="32">
        <f t="shared" si="3"/>
        <v>68.436608744430259</v>
      </c>
    </row>
    <row r="11" spans="1:20" x14ac:dyDescent="0.35">
      <c r="A11" s="1" t="s">
        <v>57</v>
      </c>
      <c r="B11" s="28" t="s">
        <v>58</v>
      </c>
      <c r="C11" s="1" t="s">
        <v>38</v>
      </c>
      <c r="D11" s="1" t="s">
        <v>39</v>
      </c>
      <c r="E11" s="29" t="s">
        <v>40</v>
      </c>
      <c r="F11" s="28" t="s">
        <v>159</v>
      </c>
      <c r="G11" s="28" t="str">
        <f>VLOOKUP($A11,'EBA2017'!$A:$G,7,FALSE)</f>
        <v>One</v>
      </c>
      <c r="H11" s="32">
        <f>VLOOKUP($A11,'EBA2017'!$A:$T,20,FALSE)</f>
        <v>186</v>
      </c>
      <c r="I11" s="28">
        <f t="shared" si="1"/>
        <v>0.81442205726405081</v>
      </c>
      <c r="J11" s="1">
        <f>VLOOKUP($A11,'EBA2017'!$A:$U,21,FALSE)</f>
        <v>2.4495079129884862</v>
      </c>
      <c r="K11" s="28">
        <f t="shared" si="2"/>
        <v>0.99710382263680164</v>
      </c>
      <c r="L11" s="1">
        <f t="shared" si="0"/>
        <v>0.90576293995042623</v>
      </c>
      <c r="M11" s="32">
        <f>VLOOKUP($A11,'EBA2017'!$A:$Z,17,FALSE)</f>
        <v>7</v>
      </c>
      <c r="N11" s="1">
        <f>VLOOKUP($A11,'EBA2017'!$A:$Z,18,FALSE)</f>
        <v>6.5</v>
      </c>
      <c r="O11" s="1">
        <f>VLOOKUP($A11,'EBA2017'!$A:$Z,19,FALSE)</f>
        <v>3</v>
      </c>
      <c r="P11" s="32">
        <f>IF(M11="No Data","No Data",M11/(7-IF(M11&lt;7,VLOOKUP($A11,'Data Gaps'!$A:$N,6,FALSE),0)))</f>
        <v>1</v>
      </c>
      <c r="Q11" s="1">
        <f>IF(N11="No Data","No Data",N11/(7-IF(N11&lt;7,VLOOKUP($A11,'Data Gaps'!$A:$N,7,FALSE),0)))</f>
        <v>0.9285714285714286</v>
      </c>
      <c r="R11" s="1">
        <f>IF(O11="No Data","No Data",O11/(7-IF(O11&lt;7,VLOOKUP($A11,'Data Gaps'!$A:$N,8,FALSE),0)))</f>
        <v>0.42857142857142855</v>
      </c>
      <c r="S11" s="32">
        <f t="shared" si="3"/>
        <v>81.572644927332078</v>
      </c>
    </row>
    <row r="12" spans="1:20" x14ac:dyDescent="0.35">
      <c r="A12" s="1" t="s">
        <v>64</v>
      </c>
      <c r="B12" s="28" t="s">
        <v>65</v>
      </c>
      <c r="C12" s="1" t="s">
        <v>38</v>
      </c>
      <c r="D12" s="1" t="s">
        <v>39</v>
      </c>
      <c r="E12" s="28" t="s">
        <v>40</v>
      </c>
      <c r="F12" s="28" t="s">
        <v>159</v>
      </c>
      <c r="G12" s="28" t="str">
        <f>VLOOKUP($A12,'EBA2017'!$A:$G,7,FALSE)</f>
        <v>One</v>
      </c>
      <c r="H12" s="32">
        <f>VLOOKUP($A12,'EBA2017'!$A:$T,20,FALSE)</f>
        <v>450</v>
      </c>
      <c r="I12" s="28">
        <f t="shared" si="1"/>
        <v>0.53446447507953321</v>
      </c>
      <c r="J12" s="1">
        <f>VLOOKUP($A12,'EBA2017'!$A:$U,21,FALSE)</f>
        <v>11.161995896248582</v>
      </c>
      <c r="K12" s="28">
        <f t="shared" si="2"/>
        <v>0.98680260648621931</v>
      </c>
      <c r="L12" s="1">
        <f t="shared" si="0"/>
        <v>0.76063354078287626</v>
      </c>
      <c r="M12" s="32">
        <f>VLOOKUP($A12,'EBA2017'!$A:$Z,17,FALSE)</f>
        <v>6</v>
      </c>
      <c r="N12" s="1">
        <f>VLOOKUP($A12,'EBA2017'!$A:$Z,18,FALSE)</f>
        <v>6.5</v>
      </c>
      <c r="O12" s="1">
        <f>VLOOKUP($A12,'EBA2017'!$A:$Z,19,FALSE)</f>
        <v>6</v>
      </c>
      <c r="P12" s="32">
        <f>IF(M12="No Data","No Data",M12/(7-IF(M12&lt;7,VLOOKUP($A12,'Data Gaps'!$A:$N,6,FALSE),0)))</f>
        <v>0.8571428571428571</v>
      </c>
      <c r="Q12" s="1">
        <f>IF(N12="No Data","No Data",N12/(7-IF(N12&lt;7,VLOOKUP($A12,'Data Gaps'!$A:$N,7,FALSE),0)))</f>
        <v>0.9285714285714286</v>
      </c>
      <c r="R12" s="1">
        <f>IF(O12="No Data","No Data",O12/(7-IF(O12&lt;7,VLOOKUP($A12,'Data Gaps'!$A:$N,8,FALSE),0)))</f>
        <v>0.8571428571428571</v>
      </c>
      <c r="S12" s="32">
        <f t="shared" si="3"/>
        <v>85.087267091000484</v>
      </c>
    </row>
    <row r="13" spans="1:20" x14ac:dyDescent="0.35">
      <c r="A13" s="1" t="s">
        <v>68</v>
      </c>
      <c r="B13" s="28" t="s">
        <v>69</v>
      </c>
      <c r="C13" s="1" t="s">
        <v>7</v>
      </c>
      <c r="D13" s="1" t="s">
        <v>8</v>
      </c>
      <c r="E13" s="28" t="s">
        <v>25</v>
      </c>
      <c r="F13" s="28" t="s">
        <v>162</v>
      </c>
      <c r="G13" s="28" t="str">
        <f>VLOOKUP($A13,'EBA2017'!$A:$G,7,FALSE)</f>
        <v>One</v>
      </c>
      <c r="H13" s="32">
        <f>VLOOKUP($A13,'EBA2017'!$A:$T,20,FALSE)</f>
        <v>246</v>
      </c>
      <c r="I13" s="28">
        <f t="shared" si="1"/>
        <v>0.75079533404029686</v>
      </c>
      <c r="J13" s="1">
        <f>VLOOKUP($A13,'EBA2017'!$A:$U,21,FALSE)</f>
        <v>11.699475447072128</v>
      </c>
      <c r="K13" s="28">
        <f t="shared" si="2"/>
        <v>0.98616711717017203</v>
      </c>
      <c r="L13" s="1">
        <f t="shared" si="0"/>
        <v>0.86848122560523444</v>
      </c>
      <c r="M13" s="32">
        <f>VLOOKUP($A13,'EBA2017'!$A:$Z,17,FALSE)</f>
        <v>2.8999999999999995</v>
      </c>
      <c r="N13" s="1">
        <f>VLOOKUP($A13,'EBA2017'!$A:$Z,18,FALSE)</f>
        <v>5</v>
      </c>
      <c r="O13" s="1">
        <f>VLOOKUP($A13,'EBA2017'!$A:$Z,19,FALSE)</f>
        <v>6.5</v>
      </c>
      <c r="P13" s="32">
        <f>IF(M13="No Data","No Data",M13/(7-IF(M13&lt;7,VLOOKUP($A13,'Data Gaps'!$A:$N,6,FALSE),0)))</f>
        <v>0.4142857142857142</v>
      </c>
      <c r="Q13" s="1">
        <f>IF(N13="No Data","No Data",N13/(7-IF(N13&lt;7,VLOOKUP($A13,'Data Gaps'!$A:$N,7,FALSE),0)))</f>
        <v>0.7142857142857143</v>
      </c>
      <c r="R13" s="1">
        <f>IF(O13="No Data","No Data",O13/(7-IF(O13&lt;7,VLOOKUP($A13,'Data Gaps'!$A:$N,8,FALSE),0)))</f>
        <v>0.9285714285714286</v>
      </c>
      <c r="S13" s="32">
        <f t="shared" si="3"/>
        <v>73.140602068702293</v>
      </c>
    </row>
    <row r="14" spans="1:20" x14ac:dyDescent="0.35">
      <c r="A14" s="1" t="s">
        <v>74</v>
      </c>
      <c r="B14" s="28" t="s">
        <v>75</v>
      </c>
      <c r="C14" s="1" t="s">
        <v>7</v>
      </c>
      <c r="D14" s="1" t="s">
        <v>8</v>
      </c>
      <c r="E14" s="28" t="s">
        <v>9</v>
      </c>
      <c r="F14" s="28" t="s">
        <v>161</v>
      </c>
      <c r="G14" s="28" t="str">
        <f>VLOOKUP($A14,'EBA2017'!$A:$G,7,FALSE)</f>
        <v>One</v>
      </c>
      <c r="H14" s="32">
        <f>VLOOKUP($A14,'EBA2017'!$A:$T,20,FALSE)</f>
        <v>357</v>
      </c>
      <c r="I14" s="28">
        <f t="shared" si="1"/>
        <v>0.63308589607635191</v>
      </c>
      <c r="J14" s="1">
        <f>VLOOKUP($A14,'EBA2017'!$A:$U,21,FALSE)</f>
        <v>21.38899810960158</v>
      </c>
      <c r="K14" s="28">
        <f t="shared" si="2"/>
        <v>0.97471070339554622</v>
      </c>
      <c r="L14" s="1">
        <f t="shared" si="0"/>
        <v>0.80389829973594906</v>
      </c>
      <c r="M14" s="32">
        <f>VLOOKUP($A14,'EBA2017'!$A:$Z,17,FALSE)</f>
        <v>3.8</v>
      </c>
      <c r="N14" s="1">
        <f>VLOOKUP($A14,'EBA2017'!$A:$Z,18,FALSE)</f>
        <v>4</v>
      </c>
      <c r="O14" s="1">
        <f>VLOOKUP($A14,'EBA2017'!$A:$Z,19,FALSE)</f>
        <v>6</v>
      </c>
      <c r="P14" s="32">
        <f>IF(M14="No Data","No Data",M14/(7-IF(M14&lt;7,VLOOKUP($A14,'Data Gaps'!$A:$N,6,FALSE),0)))</f>
        <v>0.54285714285714282</v>
      </c>
      <c r="Q14" s="1">
        <f>IF(N14="No Data","No Data",N14/(7-IF(N14&lt;7,VLOOKUP($A14,'Data Gaps'!$A:$N,7,FALSE),0)))</f>
        <v>0.5714285714285714</v>
      </c>
      <c r="R14" s="1">
        <f>IF(O14="No Data","No Data",O14/(7-IF(O14&lt;7,VLOOKUP($A14,'Data Gaps'!$A:$N,8,FALSE),0)))</f>
        <v>0.8571428571428571</v>
      </c>
      <c r="S14" s="32">
        <f t="shared" si="3"/>
        <v>69.383171779113013</v>
      </c>
    </row>
    <row r="15" spans="1:20" x14ac:dyDescent="0.35">
      <c r="A15" s="1" t="s">
        <v>72</v>
      </c>
      <c r="B15" s="28" t="s">
        <v>73</v>
      </c>
      <c r="C15" s="1" t="s">
        <v>38</v>
      </c>
      <c r="D15" s="1" t="s">
        <v>39</v>
      </c>
      <c r="E15" s="28" t="s">
        <v>40</v>
      </c>
      <c r="F15" s="28" t="s">
        <v>161</v>
      </c>
      <c r="G15" s="28" t="str">
        <f>VLOOKUP($A15,'EBA2017'!$A:$G,7,FALSE)</f>
        <v>One</v>
      </c>
      <c r="H15" s="32">
        <f>VLOOKUP($A15,'EBA2017'!$A:$T,20,FALSE)</f>
        <v>459</v>
      </c>
      <c r="I15" s="28">
        <f t="shared" si="1"/>
        <v>0.52492046659597003</v>
      </c>
      <c r="J15" s="1">
        <f>VLOOKUP($A15,'EBA2017'!$A:$U,21,FALSE)</f>
        <v>24.998008907811752</v>
      </c>
      <c r="K15" s="28">
        <f t="shared" si="2"/>
        <v>0.97044358699968103</v>
      </c>
      <c r="L15" s="1">
        <f t="shared" si="0"/>
        <v>0.74768202679782547</v>
      </c>
      <c r="M15" s="32">
        <f>VLOOKUP($A15,'EBA2017'!$A:$Z,17,FALSE)</f>
        <v>4.5000000000000009</v>
      </c>
      <c r="N15" s="1">
        <f>VLOOKUP($A15,'EBA2017'!$A:$Z,18,FALSE)</f>
        <v>4</v>
      </c>
      <c r="O15" s="1">
        <f>VLOOKUP($A15,'EBA2017'!$A:$Z,19,FALSE)</f>
        <v>7</v>
      </c>
      <c r="P15" s="32">
        <f>IF(M15="No Data","No Data",M15/(7-IF(M15&lt;7,VLOOKUP($A15,'Data Gaps'!$A:$N,6,FALSE),0)))</f>
        <v>0.64285714285714302</v>
      </c>
      <c r="Q15" s="1">
        <f>IF(N15="No Data","No Data",N15/(7-IF(N15&lt;7,VLOOKUP($A15,'Data Gaps'!$A:$N,7,FALSE),0)))</f>
        <v>0.5714285714285714</v>
      </c>
      <c r="R15" s="1">
        <f>IF(O15="No Data","No Data",O15/(7-IF(O15&lt;7,VLOOKUP($A15,'Data Gaps'!$A:$N,8,FALSE),0)))</f>
        <v>1</v>
      </c>
      <c r="S15" s="32">
        <f t="shared" si="3"/>
        <v>74.049193527088491</v>
      </c>
    </row>
    <row r="16" spans="1:20" x14ac:dyDescent="0.35">
      <c r="A16" s="1" t="s">
        <v>78</v>
      </c>
      <c r="B16" s="28" t="s">
        <v>79</v>
      </c>
      <c r="C16" s="1" t="s">
        <v>16</v>
      </c>
      <c r="D16" s="1" t="s">
        <v>17</v>
      </c>
      <c r="E16" s="28" t="s">
        <v>18</v>
      </c>
      <c r="F16" s="28" t="s">
        <v>160</v>
      </c>
      <c r="G16" s="28" t="str">
        <f>VLOOKUP($A16,'EBA2017'!$A:$G,7,FALSE)</f>
        <v>One</v>
      </c>
      <c r="H16" s="32" t="str">
        <f>VLOOKUP($A16,'EBA2017'!$A:$T,20,FALSE)</f>
        <v>N/A</v>
      </c>
      <c r="I16" s="28">
        <f t="shared" si="1"/>
        <v>0</v>
      </c>
      <c r="J16" s="1" t="str">
        <f>VLOOKUP($A16,'EBA2017'!$A:$U,21,FALSE)</f>
        <v>N/A</v>
      </c>
      <c r="K16" s="28">
        <f t="shared" si="2"/>
        <v>0</v>
      </c>
      <c r="L16" s="1">
        <f t="shared" si="0"/>
        <v>0</v>
      </c>
      <c r="M16" s="32">
        <f>VLOOKUP($A16,'EBA2017'!$A:$Z,17,FALSE)</f>
        <v>0</v>
      </c>
      <c r="N16" s="1">
        <f>VLOOKUP($A16,'EBA2017'!$A:$Z,18,FALSE)</f>
        <v>0</v>
      </c>
      <c r="O16" s="1">
        <f>VLOOKUP($A16,'EBA2017'!$A:$Z,19,FALSE)</f>
        <v>2.5</v>
      </c>
      <c r="P16" s="32">
        <f>IF(M16="No Data","No Data",M16/(7-IF(M16&lt;7,VLOOKUP($A16,'Data Gaps'!$A:$N,6,FALSE),0)))</f>
        <v>0</v>
      </c>
      <c r="Q16" s="1">
        <f>IF(N16="No Data","No Data",N16/(7-IF(N16&lt;7,VLOOKUP($A16,'Data Gaps'!$A:$N,7,FALSE),0)))</f>
        <v>0</v>
      </c>
      <c r="R16" s="1">
        <f>IF(O16="No Data","No Data",O16/(7-IF(O16&lt;7,VLOOKUP($A16,'Data Gaps'!$A:$N,8,FALSE),0)))</f>
        <v>0.35714285714285715</v>
      </c>
      <c r="S16" s="32">
        <f t="shared" si="3"/>
        <v>8.9285714285714288</v>
      </c>
    </row>
    <row r="17" spans="1:19" x14ac:dyDescent="0.35">
      <c r="A17" s="1" t="s">
        <v>84</v>
      </c>
      <c r="B17" s="28" t="s">
        <v>85</v>
      </c>
      <c r="C17" s="1" t="s">
        <v>16</v>
      </c>
      <c r="D17" s="1" t="s">
        <v>17</v>
      </c>
      <c r="E17" s="28" t="s">
        <v>18</v>
      </c>
      <c r="F17" s="28" t="s">
        <v>159</v>
      </c>
      <c r="G17" s="28" t="str">
        <f>VLOOKUP($A17,'EBA2017'!$A:$G,7,FALSE)</f>
        <v>One</v>
      </c>
      <c r="H17" s="32">
        <f>VLOOKUP($A17,'EBA2017'!$A:$T,20,FALSE)</f>
        <v>90</v>
      </c>
      <c r="I17" s="28">
        <f t="shared" si="1"/>
        <v>0.91622481442205728</v>
      </c>
      <c r="J17" s="1">
        <f>VLOOKUP($A17,'EBA2017'!$A:$U,21,FALSE)</f>
        <v>124.40210375251506</v>
      </c>
      <c r="K17" s="28">
        <f t="shared" si="2"/>
        <v>0.85291308719116155</v>
      </c>
      <c r="L17" s="1">
        <f t="shared" si="0"/>
        <v>0.88456895080660947</v>
      </c>
      <c r="M17" s="32">
        <f>VLOOKUP($A17,'EBA2017'!$A:$Z,17,FALSE)</f>
        <v>4.5000000000000009</v>
      </c>
      <c r="N17" s="1">
        <f>VLOOKUP($A17,'EBA2017'!$A:$Z,18,FALSE)</f>
        <v>3.5</v>
      </c>
      <c r="O17" s="1">
        <f>VLOOKUP($A17,'EBA2017'!$A:$Z,19,FALSE)</f>
        <v>4.5000000000000009</v>
      </c>
      <c r="P17" s="32">
        <f>IF(M17="No Data","No Data",M17/(7-IF(M17&lt;7,VLOOKUP($A17,'Data Gaps'!$A:$N,6,FALSE),0)))</f>
        <v>0.64285714285714302</v>
      </c>
      <c r="Q17" s="1">
        <f>IF(N17="No Data","No Data",N17/(7-IF(N17&lt;7,VLOOKUP($A17,'Data Gaps'!$A:$N,7,FALSE),0)))</f>
        <v>0.5</v>
      </c>
      <c r="R17" s="1">
        <f>IF(O17="No Data","No Data",O17/(7-IF(O17&lt;7,VLOOKUP($A17,'Data Gaps'!$A:$N,8,FALSE),0)))</f>
        <v>0.64285714285714302</v>
      </c>
      <c r="S17" s="32">
        <f t="shared" si="3"/>
        <v>66.757080913022392</v>
      </c>
    </row>
    <row r="18" spans="1:19" x14ac:dyDescent="0.35">
      <c r="A18" s="1" t="s">
        <v>96</v>
      </c>
      <c r="B18" s="28" t="s">
        <v>97</v>
      </c>
      <c r="C18" s="1" t="s">
        <v>38</v>
      </c>
      <c r="D18" s="1" t="s">
        <v>39</v>
      </c>
      <c r="E18" s="28" t="s">
        <v>40</v>
      </c>
      <c r="F18" s="28" t="s">
        <v>161</v>
      </c>
      <c r="G18" s="28" t="str">
        <f>VLOOKUP($A18,'EBA2017'!$A:$G,7,FALSE)</f>
        <v>One</v>
      </c>
      <c r="H18" s="32" t="str">
        <f>VLOOKUP($A18,'EBA2017'!$A:$T,20,FALSE)</f>
        <v>N/A</v>
      </c>
      <c r="I18" s="28">
        <f t="shared" si="1"/>
        <v>0</v>
      </c>
      <c r="J18" s="1" t="str">
        <f>VLOOKUP($A18,'EBA2017'!$A:$U,21,FALSE)</f>
        <v>N/A</v>
      </c>
      <c r="K18" s="28">
        <f t="shared" si="2"/>
        <v>0</v>
      </c>
      <c r="L18" s="1">
        <f t="shared" si="0"/>
        <v>0</v>
      </c>
      <c r="M18" s="32">
        <f>VLOOKUP($A18,'EBA2017'!$A:$Z,17,FALSE)</f>
        <v>5</v>
      </c>
      <c r="N18" s="1">
        <f>VLOOKUP($A18,'EBA2017'!$A:$Z,18,FALSE)</f>
        <v>6.5</v>
      </c>
      <c r="O18" s="1">
        <f>VLOOKUP($A18,'EBA2017'!$A:$Z,19,FALSE)</f>
        <v>6</v>
      </c>
      <c r="P18" s="32">
        <f>IF(M18="No Data","No Data",M18/(7-IF(M18&lt;7,VLOOKUP($A18,'Data Gaps'!$A:$N,6,FALSE),0)))</f>
        <v>0.7142857142857143</v>
      </c>
      <c r="Q18" s="1">
        <f>IF(N18="No Data","No Data",N18/(7-IF(N18&lt;7,VLOOKUP($A18,'Data Gaps'!$A:$N,7,FALSE),0)))</f>
        <v>0.9285714285714286</v>
      </c>
      <c r="R18" s="1">
        <f>IF(O18="No Data","No Data",O18/(7-IF(O18&lt;7,VLOOKUP($A18,'Data Gaps'!$A:$N,8,FALSE),0)))</f>
        <v>0.8571428571428571</v>
      </c>
      <c r="S18" s="32">
        <f t="shared" si="3"/>
        <v>62.5</v>
      </c>
    </row>
    <row r="19" spans="1:19" x14ac:dyDescent="0.35">
      <c r="A19" s="1" t="s">
        <v>94</v>
      </c>
      <c r="B19" s="28" t="s">
        <v>95</v>
      </c>
      <c r="C19" s="1" t="s">
        <v>12</v>
      </c>
      <c r="D19" s="1" t="s">
        <v>13</v>
      </c>
      <c r="E19" s="28" t="s">
        <v>18</v>
      </c>
      <c r="F19" s="28" t="s">
        <v>160</v>
      </c>
      <c r="G19" s="28" t="str">
        <f>VLOOKUP($A19,'EBA2017'!$A:$G,7,FALSE)</f>
        <v>One</v>
      </c>
      <c r="H19" s="32">
        <f>VLOOKUP($A19,'EBA2017'!$A:$T,20,FALSE)</f>
        <v>1125</v>
      </c>
      <c r="I19" s="28">
        <f t="shared" si="1"/>
        <v>0</v>
      </c>
      <c r="J19" s="1">
        <f>VLOOKUP($A19,'EBA2017'!$A:$U,21,FALSE)</f>
        <v>645.20547945205476</v>
      </c>
      <c r="K19" s="28">
        <f t="shared" si="2"/>
        <v>0.23714085825473366</v>
      </c>
      <c r="L19" s="1">
        <f t="shared" si="0"/>
        <v>0.11857042912736683</v>
      </c>
      <c r="M19" s="32">
        <f>VLOOKUP($A19,'EBA2017'!$A:$Z,17,FALSE)</f>
        <v>3.4</v>
      </c>
      <c r="N19" s="1">
        <f>VLOOKUP($A19,'EBA2017'!$A:$Z,18,FALSE)</f>
        <v>5</v>
      </c>
      <c r="O19" s="1">
        <f>VLOOKUP($A19,'EBA2017'!$A:$Z,19,FALSE)</f>
        <v>3.5</v>
      </c>
      <c r="P19" s="32">
        <f>IF(M19="No Data","No Data",M19/(7-IF(M19&lt;7,VLOOKUP($A19,'Data Gaps'!$A:$N,6,FALSE),0)))</f>
        <v>0.48571428571428571</v>
      </c>
      <c r="Q19" s="1">
        <f>IF(N19="No Data","No Data",N19/(7-IF(N19&lt;7,VLOOKUP($A19,'Data Gaps'!$A:$N,7,FALSE),0)))</f>
        <v>0.7142857142857143</v>
      </c>
      <c r="R19" s="1">
        <f>IF(O19="No Data","No Data",O19/(7-IF(O19&lt;7,VLOOKUP($A19,'Data Gaps'!$A:$N,8,FALSE),0)))</f>
        <v>0.5</v>
      </c>
      <c r="S19" s="32">
        <f t="shared" si="3"/>
        <v>45.464260728184172</v>
      </c>
    </row>
    <row r="20" spans="1:19" x14ac:dyDescent="0.35">
      <c r="A20" s="1" t="s">
        <v>104</v>
      </c>
      <c r="B20" s="28" t="s">
        <v>105</v>
      </c>
      <c r="C20" s="1" t="s">
        <v>21</v>
      </c>
      <c r="D20" s="1" t="s">
        <v>22</v>
      </c>
      <c r="E20" s="29" t="s">
        <v>25</v>
      </c>
      <c r="F20" s="28" t="s">
        <v>160</v>
      </c>
      <c r="G20" s="28" t="str">
        <f>VLOOKUP($A20,'EBA2017'!$A:$G,7,FALSE)</f>
        <v>One</v>
      </c>
      <c r="H20" s="32" t="str">
        <f>VLOOKUP($A20,'EBA2017'!$A:$T,20,FALSE)</f>
        <v>N/A</v>
      </c>
      <c r="I20" s="28">
        <f t="shared" si="1"/>
        <v>0</v>
      </c>
      <c r="J20" s="1" t="str">
        <f>VLOOKUP($A20,'EBA2017'!$A:$U,21,FALSE)</f>
        <v>N/A</v>
      </c>
      <c r="K20" s="28">
        <f t="shared" si="2"/>
        <v>0</v>
      </c>
      <c r="L20" s="1">
        <f t="shared" si="0"/>
        <v>0</v>
      </c>
      <c r="M20" s="32">
        <f>VLOOKUP($A20,'EBA2017'!$A:$Z,17,FALSE)</f>
        <v>0</v>
      </c>
      <c r="N20" s="1">
        <f>VLOOKUP($A20,'EBA2017'!$A:$Z,18,FALSE)</f>
        <v>2.5</v>
      </c>
      <c r="O20" s="1">
        <f>VLOOKUP($A20,'EBA2017'!$A:$Z,19,FALSE)</f>
        <v>6</v>
      </c>
      <c r="P20" s="32">
        <f>IF(M20="No Data","No Data",M20/(7-IF(M20&lt;7,VLOOKUP($A20,'Data Gaps'!$A:$N,6,FALSE),0)))</f>
        <v>0</v>
      </c>
      <c r="Q20" s="1">
        <f>IF(N20="No Data","No Data",N20/(7-IF(N20&lt;7,VLOOKUP($A20,'Data Gaps'!$A:$N,7,FALSE),0)))</f>
        <v>0.35714285714285715</v>
      </c>
      <c r="R20" s="1">
        <f>IF(O20="No Data","No Data",O20/(7-IF(O20&lt;7,VLOOKUP($A20,'Data Gaps'!$A:$N,8,FALSE),0)))</f>
        <v>0.8571428571428571</v>
      </c>
      <c r="S20" s="32">
        <f t="shared" si="3"/>
        <v>30.357142857142854</v>
      </c>
    </row>
    <row r="21" spans="1:19" x14ac:dyDescent="0.35">
      <c r="A21" s="1" t="s">
        <v>108</v>
      </c>
      <c r="B21" s="28" t="s">
        <v>109</v>
      </c>
      <c r="C21" s="1" t="s">
        <v>38</v>
      </c>
      <c r="D21" s="1" t="s">
        <v>39</v>
      </c>
      <c r="E21" s="29" t="s">
        <v>40</v>
      </c>
      <c r="F21" s="28" t="s">
        <v>162</v>
      </c>
      <c r="G21" s="28" t="str">
        <f>VLOOKUP($A21,'EBA2017'!$A:$G,7,FALSE)</f>
        <v>One</v>
      </c>
      <c r="H21" s="32">
        <f>VLOOKUP($A21,'EBA2017'!$A:$T,20,FALSE)</f>
        <v>60</v>
      </c>
      <c r="I21" s="28">
        <f t="shared" si="1"/>
        <v>0.94803817603393425</v>
      </c>
      <c r="J21" s="1">
        <f>VLOOKUP($A21,'EBA2017'!$A:$U,21,FALSE)</f>
        <v>15.749043065292748</v>
      </c>
      <c r="K21" s="28">
        <f t="shared" si="2"/>
        <v>0.98137910811560103</v>
      </c>
      <c r="L21" s="1">
        <f t="shared" si="0"/>
        <v>0.9647086420747677</v>
      </c>
      <c r="M21" s="32">
        <f>VLOOKUP($A21,'EBA2017'!$A:$Z,17,FALSE)</f>
        <v>7</v>
      </c>
      <c r="N21" s="1">
        <f>VLOOKUP($A21,'EBA2017'!$A:$Z,18,FALSE)</f>
        <v>6.5</v>
      </c>
      <c r="O21" s="1">
        <f>VLOOKUP($A21,'EBA2017'!$A:$Z,19,FALSE)</f>
        <v>6</v>
      </c>
      <c r="P21" s="32">
        <f>IF(M21="No Data","No Data",M21/(7-IF(M21&lt;7,VLOOKUP($A21,'Data Gaps'!$A:$N,6,FALSE),0)))</f>
        <v>1</v>
      </c>
      <c r="Q21" s="1">
        <f>IF(N21="No Data","No Data",N21/(7-IF(N21&lt;7,VLOOKUP($A21,'Data Gaps'!$A:$N,7,FALSE),0)))</f>
        <v>0.9285714285714286</v>
      </c>
      <c r="R21" s="1">
        <f>IF(O21="No Data","No Data",O21/(7-IF(O21&lt;7,VLOOKUP($A21,'Data Gaps'!$A:$N,8,FALSE),0)))</f>
        <v>0.8571428571428571</v>
      </c>
      <c r="S21" s="32">
        <f t="shared" si="3"/>
        <v>93.760573194726334</v>
      </c>
    </row>
    <row r="22" spans="1:19" x14ac:dyDescent="0.35">
      <c r="A22" s="1" t="s">
        <v>110</v>
      </c>
      <c r="B22" s="28" t="s">
        <v>111</v>
      </c>
      <c r="C22" s="1" t="s">
        <v>7</v>
      </c>
      <c r="D22" s="1" t="s">
        <v>8</v>
      </c>
      <c r="E22" s="29" t="s">
        <v>25</v>
      </c>
      <c r="F22" s="28" t="s">
        <v>162</v>
      </c>
      <c r="G22" s="28" t="str">
        <f>VLOOKUP($A22,'EBA2017'!$A:$G,7,FALSE)</f>
        <v>One</v>
      </c>
      <c r="H22" s="32">
        <f>VLOOKUP($A22,'EBA2017'!$A:$T,20,FALSE)</f>
        <v>1205</v>
      </c>
      <c r="I22" s="28">
        <f t="shared" si="1"/>
        <v>0</v>
      </c>
      <c r="J22" s="1">
        <f>VLOOKUP($A22,'EBA2017'!$A:$U,21,FALSE)</f>
        <v>46.284200735873149</v>
      </c>
      <c r="K22" s="28">
        <f t="shared" si="2"/>
        <v>0.94527584347281168</v>
      </c>
      <c r="L22" s="1">
        <f t="shared" si="0"/>
        <v>0.47263792173640584</v>
      </c>
      <c r="M22" s="32">
        <f>VLOOKUP($A22,'EBA2017'!$A:$Z,17,FALSE)</f>
        <v>4.8</v>
      </c>
      <c r="N22" s="1">
        <f>VLOOKUP($A22,'EBA2017'!$A:$Z,18,FALSE)</f>
        <v>6.5</v>
      </c>
      <c r="O22" s="1">
        <f>VLOOKUP($A22,'EBA2017'!$A:$Z,19,FALSE)</f>
        <v>3</v>
      </c>
      <c r="P22" s="32">
        <f>IF(M22="No Data","No Data",M22/(7-IF(M22&lt;7,VLOOKUP($A22,'Data Gaps'!$A:$N,6,FALSE),0)))</f>
        <v>0.68571428571428572</v>
      </c>
      <c r="Q22" s="1">
        <f>IF(N22="No Data","No Data",N22/(7-IF(N22&lt;7,VLOOKUP($A22,'Data Gaps'!$A:$N,7,FALSE),0)))</f>
        <v>0.9285714285714286</v>
      </c>
      <c r="R22" s="1">
        <f>IF(O22="No Data","No Data",O22/(7-IF(O22&lt;7,VLOOKUP($A22,'Data Gaps'!$A:$N,8,FALSE),0)))</f>
        <v>0.5</v>
      </c>
      <c r="S22" s="32">
        <f t="shared" si="3"/>
        <v>64.673090900552992</v>
      </c>
    </row>
    <row r="23" spans="1:19" x14ac:dyDescent="0.35">
      <c r="A23" s="1" t="s">
        <v>112</v>
      </c>
      <c r="B23" s="28" t="s">
        <v>113</v>
      </c>
      <c r="C23" s="1" t="s">
        <v>7</v>
      </c>
      <c r="D23" s="1" t="s">
        <v>8</v>
      </c>
      <c r="E23" s="29" t="s">
        <v>25</v>
      </c>
      <c r="F23" s="28" t="s">
        <v>162</v>
      </c>
      <c r="G23" s="28" t="str">
        <f>VLOOKUP($A23,'EBA2017'!$A:$G,7,FALSE)</f>
        <v>One</v>
      </c>
      <c r="H23" s="32">
        <f>VLOOKUP($A23,'EBA2017'!$A:$T,20,FALSE)</f>
        <v>330</v>
      </c>
      <c r="I23" s="28">
        <f t="shared" si="1"/>
        <v>0.66171792152704123</v>
      </c>
      <c r="J23" s="1">
        <f>VLOOKUP($A23,'EBA2017'!$A:$U,21,FALSE)</f>
        <v>59.586683385016059</v>
      </c>
      <c r="K23" s="28">
        <f t="shared" si="2"/>
        <v>0.92954764397669976</v>
      </c>
      <c r="L23" s="1">
        <f t="shared" si="0"/>
        <v>0.79563278275187055</v>
      </c>
      <c r="M23" s="32">
        <f>VLOOKUP($A23,'EBA2017'!$A:$Z,17,FALSE)</f>
        <v>4.8</v>
      </c>
      <c r="N23" s="1">
        <f>VLOOKUP($A23,'EBA2017'!$A:$Z,18,FALSE)</f>
        <v>3</v>
      </c>
      <c r="O23" s="1">
        <f>VLOOKUP($A23,'EBA2017'!$A:$Z,19,FALSE)</f>
        <v>6</v>
      </c>
      <c r="P23" s="32">
        <f>IF(M23="No Data","No Data",M23/(7-IF(M23&lt;7,VLOOKUP($A23,'Data Gaps'!$A:$N,6,FALSE),0)))</f>
        <v>0.68571428571428572</v>
      </c>
      <c r="Q23" s="1">
        <f>IF(N23="No Data","No Data",N23/(7-IF(N23&lt;7,VLOOKUP($A23,'Data Gaps'!$A:$N,7,FALSE),0)))</f>
        <v>0.42857142857142855</v>
      </c>
      <c r="R23" s="1">
        <f>IF(O23="No Data","No Data",O23/(7-IF(O23&lt;7,VLOOKUP($A23,'Data Gaps'!$A:$N,8,FALSE),0)))</f>
        <v>0.8571428571428571</v>
      </c>
      <c r="S23" s="32">
        <f t="shared" si="3"/>
        <v>69.17653385451105</v>
      </c>
    </row>
    <row r="24" spans="1:19" x14ac:dyDescent="0.35">
      <c r="A24" s="1" t="s">
        <v>114</v>
      </c>
      <c r="B24" s="28" t="s">
        <v>115</v>
      </c>
      <c r="C24" s="1" t="s">
        <v>16</v>
      </c>
      <c r="D24" s="1" t="s">
        <v>17</v>
      </c>
      <c r="E24" s="29" t="s">
        <v>18</v>
      </c>
      <c r="F24" s="28" t="s">
        <v>160</v>
      </c>
      <c r="G24" s="28" t="str">
        <f>VLOOKUP($A24,'EBA2017'!$A:$G,7,FALSE)</f>
        <v>One</v>
      </c>
      <c r="H24" s="32">
        <f>VLOOKUP($A24,'EBA2017'!$A:$T,20,FALSE)</f>
        <v>730</v>
      </c>
      <c r="I24" s="28">
        <f t="shared" si="1"/>
        <v>0.23753976670201449</v>
      </c>
      <c r="J24" s="1">
        <f>VLOOKUP($A24,'EBA2017'!$A:$U,21,FALSE)</f>
        <v>2.0225820039564324</v>
      </c>
      <c r="K24" s="28">
        <f t="shared" si="2"/>
        <v>0.99760859877855035</v>
      </c>
      <c r="L24" s="1">
        <f t="shared" si="0"/>
        <v>0.61757418274028242</v>
      </c>
      <c r="M24" s="32">
        <f>VLOOKUP($A24,'EBA2017'!$A:$Z,17,FALSE)</f>
        <v>1.9</v>
      </c>
      <c r="N24" s="1">
        <f>VLOOKUP($A24,'EBA2017'!$A:$Z,18,FALSE)</f>
        <v>4</v>
      </c>
      <c r="O24" s="1">
        <f>VLOOKUP($A24,'EBA2017'!$A:$Z,19,FALSE)</f>
        <v>4.5000000000000009</v>
      </c>
      <c r="P24" s="32">
        <f>IF(M24="No Data","No Data",M24/(7-IF(M24&lt;7,VLOOKUP($A24,'Data Gaps'!$A:$N,6,FALSE),0)))</f>
        <v>0.27142857142857141</v>
      </c>
      <c r="Q24" s="1">
        <f>IF(N24="No Data","No Data",N24/(7-IF(N24&lt;7,VLOOKUP($A24,'Data Gaps'!$A:$N,7,FALSE),0)))</f>
        <v>0.5714285714285714</v>
      </c>
      <c r="R24" s="1">
        <f>IF(O24="No Data","No Data",O24/(7-IF(O24&lt;7,VLOOKUP($A24,'Data Gaps'!$A:$N,8,FALSE),0)))</f>
        <v>0.64285714285714302</v>
      </c>
      <c r="S24" s="32">
        <f t="shared" si="3"/>
        <v>52.582211711364209</v>
      </c>
    </row>
    <row r="25" spans="1:19" x14ac:dyDescent="0.35">
      <c r="A25" s="1" t="s">
        <v>116</v>
      </c>
      <c r="B25" s="28" t="s">
        <v>117</v>
      </c>
      <c r="C25" s="1" t="s">
        <v>16</v>
      </c>
      <c r="D25" s="1" t="s">
        <v>17</v>
      </c>
      <c r="E25" s="29" t="s">
        <v>18</v>
      </c>
      <c r="F25" s="28" t="s">
        <v>162</v>
      </c>
      <c r="G25" s="28" t="str">
        <f>VLOOKUP($A25,'EBA2017'!$A:$G,7,FALSE)</f>
        <v>One</v>
      </c>
      <c r="H25" s="32" t="str">
        <f>VLOOKUP($A25,'EBA2017'!$A:$T,20,FALSE)</f>
        <v>N/A</v>
      </c>
      <c r="I25" s="28">
        <f t="shared" si="1"/>
        <v>0</v>
      </c>
      <c r="J25" s="1" t="str">
        <f>VLOOKUP($A25,'EBA2017'!$A:$U,21,FALSE)</f>
        <v>N/A</v>
      </c>
      <c r="K25" s="28">
        <f t="shared" si="2"/>
        <v>0</v>
      </c>
      <c r="L25" s="1">
        <f t="shared" si="0"/>
        <v>0</v>
      </c>
      <c r="M25" s="32">
        <f>VLOOKUP($A25,'EBA2017'!$A:$Z,17,FALSE)</f>
        <v>0</v>
      </c>
      <c r="N25" s="1">
        <f>VLOOKUP($A25,'EBA2017'!$A:$Z,18,FALSE)</f>
        <v>1</v>
      </c>
      <c r="O25" s="1">
        <f>VLOOKUP($A25,'EBA2017'!$A:$Z,19,FALSE)</f>
        <v>4</v>
      </c>
      <c r="P25" s="32">
        <f>IF(M25="No Data","No Data",M25/(7-IF(M25&lt;7,VLOOKUP($A25,'Data Gaps'!$A:$N,6,FALSE),0)))</f>
        <v>0</v>
      </c>
      <c r="Q25" s="1">
        <f>IF(N25="No Data","No Data",N25/(7-IF(N25&lt;7,VLOOKUP($A25,'Data Gaps'!$A:$N,7,FALSE),0)))</f>
        <v>0.14285714285714285</v>
      </c>
      <c r="R25" s="1">
        <f>IF(O25="No Data","No Data",O25/(7-IF(O25&lt;7,VLOOKUP($A25,'Data Gaps'!$A:$N,8,FALSE),0)))</f>
        <v>0.5714285714285714</v>
      </c>
      <c r="S25" s="32">
        <f t="shared" si="3"/>
        <v>17.857142857142854</v>
      </c>
    </row>
    <row r="26" spans="1:19" x14ac:dyDescent="0.35">
      <c r="A26" s="1" t="s">
        <v>118</v>
      </c>
      <c r="B26" s="28" t="s">
        <v>119</v>
      </c>
      <c r="C26" s="1" t="s">
        <v>7</v>
      </c>
      <c r="D26" s="1" t="s">
        <v>8</v>
      </c>
      <c r="E26" s="29" t="s">
        <v>25</v>
      </c>
      <c r="F26" s="28" t="s">
        <v>162</v>
      </c>
      <c r="G26" s="28" t="str">
        <f>VLOOKUP($A26,'EBA2017'!$A:$G,7,FALSE)</f>
        <v>One</v>
      </c>
      <c r="H26" s="32">
        <f>VLOOKUP($A26,'EBA2017'!$A:$T,20,FALSE)</f>
        <v>22</v>
      </c>
      <c r="I26" s="28">
        <f t="shared" si="1"/>
        <v>0.98833510074231179</v>
      </c>
      <c r="J26" s="1">
        <f>VLOOKUP($A26,'EBA2017'!$A:$U,21,FALSE)</f>
        <v>5.3129597598752092</v>
      </c>
      <c r="K26" s="28">
        <f t="shared" si="2"/>
        <v>0.9937182183790696</v>
      </c>
      <c r="L26" s="1">
        <f t="shared" si="0"/>
        <v>0.99102665956069069</v>
      </c>
      <c r="M26" s="32">
        <f>VLOOKUP($A26,'EBA2017'!$A:$Z,17,FALSE)</f>
        <v>5.7999999999999989</v>
      </c>
      <c r="N26" s="1">
        <f>VLOOKUP($A26,'EBA2017'!$A:$Z,18,FALSE)</f>
        <v>6</v>
      </c>
      <c r="O26" s="1">
        <f>VLOOKUP($A26,'EBA2017'!$A:$Z,19,FALSE)</f>
        <v>7</v>
      </c>
      <c r="P26" s="32">
        <f>IF(M26="No Data","No Data",M26/(7-IF(M26&lt;7,VLOOKUP($A26,'Data Gaps'!$A:$N,6,FALSE),0)))</f>
        <v>0.8285714285714284</v>
      </c>
      <c r="Q26" s="1">
        <f>IF(N26="No Data","No Data",N26/(7-IF(N26&lt;7,VLOOKUP($A26,'Data Gaps'!$A:$N,7,FALSE),0)))</f>
        <v>0.8571428571428571</v>
      </c>
      <c r="R26" s="1">
        <f>IF(O26="No Data","No Data",O26/(7-IF(O26&lt;7,VLOOKUP($A26,'Data Gaps'!$A:$N,8,FALSE),0)))</f>
        <v>1</v>
      </c>
      <c r="S26" s="32">
        <f t="shared" si="3"/>
        <v>91.918523631874407</v>
      </c>
    </row>
    <row r="27" spans="1:19" x14ac:dyDescent="0.35">
      <c r="A27" s="1" t="s">
        <v>126</v>
      </c>
      <c r="B27" s="28" t="s">
        <v>127</v>
      </c>
      <c r="C27" s="1" t="s">
        <v>7</v>
      </c>
      <c r="D27" s="1" t="s">
        <v>8</v>
      </c>
      <c r="E27" s="29" t="s">
        <v>9</v>
      </c>
      <c r="F27" s="28" t="s">
        <v>159</v>
      </c>
      <c r="G27" s="28" t="str">
        <f>VLOOKUP($A27,'EBA2017'!$A:$G,7,FALSE)</f>
        <v>One</v>
      </c>
      <c r="H27" s="32" t="str">
        <f>VLOOKUP($A27,'EBA2017'!$A:$T,20,FALSE)</f>
        <v>No practice</v>
      </c>
      <c r="I27" s="28">
        <f t="shared" si="1"/>
        <v>0</v>
      </c>
      <c r="J27" s="1" t="str">
        <f>VLOOKUP($A27,'EBA2017'!$A:$U,21,FALSE)</f>
        <v>No practice</v>
      </c>
      <c r="K27" s="28">
        <f t="shared" si="2"/>
        <v>0</v>
      </c>
      <c r="L27" s="1">
        <f t="shared" si="0"/>
        <v>0</v>
      </c>
      <c r="M27" s="32">
        <f>VLOOKUP($A27,'EBA2017'!$A:$Z,17,FALSE)</f>
        <v>2.2999999999999998</v>
      </c>
      <c r="N27" s="1">
        <f>VLOOKUP($A27,'EBA2017'!$A:$Z,18,FALSE)</f>
        <v>2</v>
      </c>
      <c r="O27" s="1">
        <f>VLOOKUP($A27,'EBA2017'!$A:$Z,19,FALSE)</f>
        <v>6</v>
      </c>
      <c r="P27" s="32">
        <f>IF(M27="No Data","No Data",M27/(7-IF(M27&lt;7,VLOOKUP($A27,'Data Gaps'!$A:$N,6,FALSE),0)))</f>
        <v>0.32857142857142857</v>
      </c>
      <c r="Q27" s="1">
        <f>IF(N27="No Data","No Data",N27/(7-IF(N27&lt;7,VLOOKUP($A27,'Data Gaps'!$A:$N,7,FALSE),0)))</f>
        <v>0.2857142857142857</v>
      </c>
      <c r="R27" s="1">
        <f>IF(O27="No Data","No Data",O27/(7-IF(O27&lt;7,VLOOKUP($A27,'Data Gaps'!$A:$N,8,FALSE),0)))</f>
        <v>0.8571428571428571</v>
      </c>
      <c r="S27" s="32">
        <f t="shared" si="3"/>
        <v>36.785714285714292</v>
      </c>
    </row>
    <row r="28" spans="1:19" x14ac:dyDescent="0.35">
      <c r="A28" s="1" t="s">
        <v>132</v>
      </c>
      <c r="B28" s="28" t="s">
        <v>133</v>
      </c>
      <c r="C28" s="1" t="s">
        <v>7</v>
      </c>
      <c r="D28" s="1" t="s">
        <v>8</v>
      </c>
      <c r="E28" s="28" t="s">
        <v>25</v>
      </c>
      <c r="F28" s="28" t="s">
        <v>159</v>
      </c>
      <c r="G28" s="28" t="str">
        <f>VLOOKUP($A28,'EBA2017'!$A:$G,7,FALSE)</f>
        <v>One</v>
      </c>
      <c r="H28" s="32">
        <f>VLOOKUP($A28,'EBA2017'!$A:$T,20,FALSE)</f>
        <v>50</v>
      </c>
      <c r="I28" s="28">
        <f t="shared" si="1"/>
        <v>0.95864262990455984</v>
      </c>
      <c r="J28" s="1">
        <f>VLOOKUP($A28,'EBA2017'!$A:$U,21,FALSE)</f>
        <v>1.6533505558909496</v>
      </c>
      <c r="K28" s="28">
        <f t="shared" si="2"/>
        <v>0.99804515983475195</v>
      </c>
      <c r="L28" s="1">
        <f t="shared" si="0"/>
        <v>0.97834389486965589</v>
      </c>
      <c r="M28" s="32">
        <f>VLOOKUP($A28,'EBA2017'!$A:$Z,17,FALSE)</f>
        <v>5.4000000000000012</v>
      </c>
      <c r="N28" s="1">
        <f>VLOOKUP($A28,'EBA2017'!$A:$Z,18,FALSE)</f>
        <v>5</v>
      </c>
      <c r="O28" s="1">
        <f>VLOOKUP($A28,'EBA2017'!$A:$Z,19,FALSE)</f>
        <v>3.5</v>
      </c>
      <c r="P28" s="32">
        <f>IF(M28="No Data","No Data",M28/(7-IF(M28&lt;7,VLOOKUP($A28,'Data Gaps'!$A:$N,6,FALSE),0)))</f>
        <v>0.77142857142857157</v>
      </c>
      <c r="Q28" s="1">
        <f>IF(N28="No Data","No Data",N28/(7-IF(N28&lt;7,VLOOKUP($A28,'Data Gaps'!$A:$N,7,FALSE),0)))</f>
        <v>0.7142857142857143</v>
      </c>
      <c r="R28" s="1">
        <f>IF(O28="No Data","No Data",O28/(7-IF(O28&lt;7,VLOOKUP($A28,'Data Gaps'!$A:$N,8,FALSE),0)))</f>
        <v>0.5</v>
      </c>
      <c r="S28" s="32">
        <f t="shared" si="3"/>
        <v>74.101454514598544</v>
      </c>
    </row>
    <row r="29" spans="1:19" x14ac:dyDescent="0.35">
      <c r="A29" s="1" t="s">
        <v>136</v>
      </c>
      <c r="B29" s="28" t="s">
        <v>137</v>
      </c>
      <c r="C29" s="1" t="s">
        <v>7</v>
      </c>
      <c r="D29" s="1" t="s">
        <v>8</v>
      </c>
      <c r="E29" s="28" t="s">
        <v>9</v>
      </c>
      <c r="F29" s="28" t="s">
        <v>162</v>
      </c>
      <c r="G29" s="28" t="str">
        <f>VLOOKUP($A29,'EBA2017'!$A:$G,7,FALSE)</f>
        <v>One</v>
      </c>
      <c r="H29" s="32">
        <f>VLOOKUP($A29,'EBA2017'!$A:$T,20,FALSE)</f>
        <v>325</v>
      </c>
      <c r="I29" s="28">
        <f t="shared" si="1"/>
        <v>0.66702014846235402</v>
      </c>
      <c r="J29" s="1">
        <f>VLOOKUP($A29,'EBA2017'!$A:$U,21,FALSE)</f>
        <v>845.7727569154589</v>
      </c>
      <c r="K29" s="28">
        <f t="shared" si="2"/>
        <v>0</v>
      </c>
      <c r="L29" s="1">
        <f t="shared" si="0"/>
        <v>0.33351007423117701</v>
      </c>
      <c r="M29" s="32">
        <f>VLOOKUP($A29,'EBA2017'!$A:$Z,17,FALSE)</f>
        <v>4.8</v>
      </c>
      <c r="N29" s="1">
        <f>VLOOKUP($A29,'EBA2017'!$A:$Z,18,FALSE)</f>
        <v>3</v>
      </c>
      <c r="O29" s="1">
        <f>VLOOKUP($A29,'EBA2017'!$A:$Z,19,FALSE)</f>
        <v>6</v>
      </c>
      <c r="P29" s="32">
        <f>IF(M29="No Data","No Data",M29/(7-IF(M29&lt;7,VLOOKUP($A29,'Data Gaps'!$A:$N,6,FALSE),0)))</f>
        <v>0.68571428571428572</v>
      </c>
      <c r="Q29" s="1">
        <f>IF(N29="No Data","No Data",N29/(7-IF(N29&lt;7,VLOOKUP($A29,'Data Gaps'!$A:$N,7,FALSE),0)))</f>
        <v>0.42857142857142855</v>
      </c>
      <c r="R29" s="1">
        <f>IF(O29="No Data","No Data",O29/(7-IF(O29&lt;7,VLOOKUP($A29,'Data Gaps'!$A:$N,8,FALSE),0)))</f>
        <v>0.8571428571428571</v>
      </c>
      <c r="S29" s="32">
        <f t="shared" si="3"/>
        <v>57.623466141493708</v>
      </c>
    </row>
    <row r="30" spans="1:19" x14ac:dyDescent="0.35">
      <c r="A30" s="1" t="s">
        <v>28</v>
      </c>
      <c r="B30" s="28" t="s">
        <v>29</v>
      </c>
      <c r="C30" s="1" t="s">
        <v>16</v>
      </c>
      <c r="D30" s="1" t="s">
        <v>17</v>
      </c>
      <c r="E30" s="29" t="s">
        <v>18</v>
      </c>
      <c r="F30" s="28" t="s">
        <v>160</v>
      </c>
      <c r="G30" s="28" t="str">
        <f>VLOOKUP($A30,'EBA2017'!$A:$G,7,FALSE)</f>
        <v>Two</v>
      </c>
      <c r="H30" s="32" t="str">
        <f>VLOOKUP($A30,'EBA2017'!$A:$T,20,FALSE)</f>
        <v>No practice</v>
      </c>
      <c r="I30" s="28">
        <f t="shared" si="1"/>
        <v>0</v>
      </c>
      <c r="J30" s="1" t="str">
        <f>VLOOKUP($A30,'EBA2017'!$A:$U,21,FALSE)</f>
        <v>No practice</v>
      </c>
      <c r="K30" s="28">
        <f t="shared" si="2"/>
        <v>0</v>
      </c>
      <c r="L30" s="1">
        <f t="shared" si="0"/>
        <v>0</v>
      </c>
      <c r="M30" s="32">
        <f>VLOOKUP($A30,'EBA2017'!$A:$Z,17,FALSE)</f>
        <v>3</v>
      </c>
      <c r="N30" s="1">
        <f>VLOOKUP($A30,'EBA2017'!$A:$Z,18,FALSE)</f>
        <v>3.9999999999999996</v>
      </c>
      <c r="O30" s="1">
        <f>VLOOKUP($A30,'EBA2017'!$A:$Z,19,FALSE)</f>
        <v>4</v>
      </c>
      <c r="P30" s="32">
        <f>IF(M30="No Data","No Data",M30/(7-IF(M30&lt;7,VLOOKUP($A30,'Data Gaps'!$A:$N,6,FALSE),0)))</f>
        <v>0.42857142857142855</v>
      </c>
      <c r="Q30" s="1">
        <f>IF(N30="No Data","No Data",N30/(7-IF(N30&lt;7,VLOOKUP($A30,'Data Gaps'!$A:$N,7,FALSE),0)))</f>
        <v>0.66666666666666663</v>
      </c>
      <c r="R30" s="1">
        <f>IF(O30="No Data","No Data",O30/(7-IF(O30&lt;7,VLOOKUP($A30,'Data Gaps'!$A:$N,8,FALSE),0)))</f>
        <v>0.5714285714285714</v>
      </c>
      <c r="S30" s="32">
        <f t="shared" si="3"/>
        <v>41.666666666666664</v>
      </c>
    </row>
    <row r="31" spans="1:19" x14ac:dyDescent="0.35">
      <c r="A31" s="1" t="s">
        <v>14</v>
      </c>
      <c r="B31" s="28" t="s">
        <v>15</v>
      </c>
      <c r="C31" s="1" t="s">
        <v>16</v>
      </c>
      <c r="D31" s="1" t="s">
        <v>17</v>
      </c>
      <c r="E31" s="29" t="s">
        <v>18</v>
      </c>
      <c r="F31" s="28" t="s">
        <v>159</v>
      </c>
      <c r="G31" s="28" t="str">
        <f>VLOOKUP($A31,'EBA2017'!$A:$G,7,FALSE)</f>
        <v>Two</v>
      </c>
      <c r="H31" s="32" t="str">
        <f>VLOOKUP($A31,'EBA2017'!$A:$T,20,FALSE)</f>
        <v>N/A</v>
      </c>
      <c r="I31" s="28">
        <f t="shared" si="1"/>
        <v>0</v>
      </c>
      <c r="J31" s="1" t="str">
        <f>VLOOKUP($A31,'EBA2017'!$A:$U,21,FALSE)</f>
        <v>N/A</v>
      </c>
      <c r="K31" s="28">
        <f t="shared" si="2"/>
        <v>0</v>
      </c>
      <c r="L31" s="1">
        <f t="shared" si="0"/>
        <v>0</v>
      </c>
      <c r="M31" s="32">
        <f>VLOOKUP($A31,'EBA2017'!$A:$Z,17,FALSE)</f>
        <v>0</v>
      </c>
      <c r="N31" s="1">
        <f>VLOOKUP($A31,'EBA2017'!$A:$Z,18,FALSE)</f>
        <v>0</v>
      </c>
      <c r="O31" s="1">
        <f>VLOOKUP($A31,'EBA2017'!$A:$Z,19,FALSE)</f>
        <v>3.5</v>
      </c>
      <c r="P31" s="32">
        <f>IF(M31="No Data","No Data",M31/(7-IF(M31&lt;7,VLOOKUP($A31,'Data Gaps'!$A:$N,6,FALSE),0)))</f>
        <v>0</v>
      </c>
      <c r="Q31" s="1">
        <f>IF(N31="No Data","No Data",N31/(7-IF(N31&lt;7,VLOOKUP($A31,'Data Gaps'!$A:$N,7,FALSE),0)))</f>
        <v>0</v>
      </c>
      <c r="R31" s="1">
        <f>IF(O31="No Data","No Data",O31/(7-IF(O31&lt;7,VLOOKUP($A31,'Data Gaps'!$A:$N,8,FALSE),0)))</f>
        <v>0.58333333333333337</v>
      </c>
      <c r="S31" s="32">
        <f t="shared" si="3"/>
        <v>14.583333333333334</v>
      </c>
    </row>
    <row r="32" spans="1:19" x14ac:dyDescent="0.35">
      <c r="A32" s="1" t="s">
        <v>26</v>
      </c>
      <c r="B32" s="28" t="s">
        <v>27</v>
      </c>
      <c r="C32" s="1" t="s">
        <v>16</v>
      </c>
      <c r="D32" s="1" t="s">
        <v>17</v>
      </c>
      <c r="E32" s="29" t="s">
        <v>18</v>
      </c>
      <c r="F32" s="28" t="s">
        <v>159</v>
      </c>
      <c r="G32" s="28" t="str">
        <f>VLOOKUP($A32,'EBA2017'!$A:$G,7,FALSE)</f>
        <v>Two</v>
      </c>
      <c r="H32" s="32" t="str">
        <f>VLOOKUP($A32,'EBA2017'!$A:$T,20,FALSE)</f>
        <v>N/A</v>
      </c>
      <c r="I32" s="28">
        <f t="shared" si="1"/>
        <v>0</v>
      </c>
      <c r="J32" s="1" t="str">
        <f>VLOOKUP($A32,'EBA2017'!$A:$U,21,FALSE)</f>
        <v>N/A</v>
      </c>
      <c r="K32" s="28">
        <f t="shared" si="2"/>
        <v>0</v>
      </c>
      <c r="L32" s="1">
        <f t="shared" si="0"/>
        <v>0</v>
      </c>
      <c r="M32" s="32">
        <f>VLOOKUP($A32,'EBA2017'!$A:$Z,17,FALSE)</f>
        <v>0</v>
      </c>
      <c r="N32" s="1">
        <f>VLOOKUP($A32,'EBA2017'!$A:$Z,18,FALSE)</f>
        <v>3.5</v>
      </c>
      <c r="O32" s="1">
        <f>VLOOKUP($A32,'EBA2017'!$A:$Z,19,FALSE)</f>
        <v>3</v>
      </c>
      <c r="P32" s="32">
        <f>IF(M32="No Data","No Data",M32/(7-IF(M32&lt;7,VLOOKUP($A32,'Data Gaps'!$A:$N,6,FALSE),0)))</f>
        <v>0</v>
      </c>
      <c r="Q32" s="1">
        <f>IF(N32="No Data","No Data",N32/(7-IF(N32&lt;7,VLOOKUP($A32,'Data Gaps'!$A:$N,7,FALSE),0)))</f>
        <v>0.5</v>
      </c>
      <c r="R32" s="1">
        <f>IF(O32="No Data","No Data",O32/(7-IF(O32&lt;7,VLOOKUP($A32,'Data Gaps'!$A:$N,8,FALSE),0)))</f>
        <v>0.42857142857142855</v>
      </c>
      <c r="S32" s="32">
        <f t="shared" si="3"/>
        <v>23.214285714285715</v>
      </c>
    </row>
    <row r="33" spans="1:19" x14ac:dyDescent="0.35">
      <c r="A33" s="1" t="s">
        <v>10</v>
      </c>
      <c r="B33" s="28" t="s">
        <v>11</v>
      </c>
      <c r="C33" s="1" t="s">
        <v>12</v>
      </c>
      <c r="D33" s="1" t="s">
        <v>13</v>
      </c>
      <c r="E33" s="29" t="s">
        <v>9</v>
      </c>
      <c r="F33" s="28" t="s">
        <v>159</v>
      </c>
      <c r="G33" s="28" t="str">
        <f>VLOOKUP($A33,'EBA2017'!$A:$G,7,FALSE)</f>
        <v>Two</v>
      </c>
      <c r="H33" s="32">
        <f>VLOOKUP($A33,'EBA2017'!$A:$T,20,FALSE)</f>
        <v>945</v>
      </c>
      <c r="I33" s="28">
        <f t="shared" si="1"/>
        <v>9.5440084835626184E-3</v>
      </c>
      <c r="J33" s="1">
        <f>VLOOKUP($A33,'EBA2017'!$A:$U,21,FALSE)</f>
        <v>58.761479511133373</v>
      </c>
      <c r="K33" s="28">
        <f t="shared" si="2"/>
        <v>0.93052332434371965</v>
      </c>
      <c r="L33" s="1">
        <f t="shared" si="0"/>
        <v>0.47003366641364114</v>
      </c>
      <c r="M33" s="32">
        <f>VLOOKUP($A33,'EBA2017'!$A:$Z,17,FALSE)</f>
        <v>4.4000000000000004</v>
      </c>
      <c r="N33" s="1">
        <f>VLOOKUP($A33,'EBA2017'!$A:$Z,18,FALSE)</f>
        <v>4.5000000000000009</v>
      </c>
      <c r="O33" s="1">
        <f>VLOOKUP($A33,'EBA2017'!$A:$Z,19,FALSE)</f>
        <v>3</v>
      </c>
      <c r="P33" s="32">
        <f>IF(M33="No Data","No Data",M33/(7-IF(M33&lt;7,VLOOKUP($A33,'Data Gaps'!$A:$N,6,FALSE),0)))</f>
        <v>0.62857142857142867</v>
      </c>
      <c r="Q33" s="1">
        <f>IF(N33="No Data","No Data",N33/(7-IF(N33&lt;7,VLOOKUP($A33,'Data Gaps'!$A:$N,7,FALSE),0)))</f>
        <v>0.64285714285714302</v>
      </c>
      <c r="R33" s="1">
        <f>IF(O33="No Data","No Data",O33/(7-IF(O33&lt;7,VLOOKUP($A33,'Data Gaps'!$A:$N,8,FALSE),0)))</f>
        <v>0.42857142857142855</v>
      </c>
      <c r="S33" s="32">
        <f t="shared" si="3"/>
        <v>54.250841660341031</v>
      </c>
    </row>
    <row r="34" spans="1:19" x14ac:dyDescent="0.35">
      <c r="A34" s="1" t="s">
        <v>19</v>
      </c>
      <c r="B34" s="28" t="s">
        <v>20</v>
      </c>
      <c r="C34" s="1" t="s">
        <v>21</v>
      </c>
      <c r="D34" s="1" t="s">
        <v>22</v>
      </c>
      <c r="E34" s="29" t="s">
        <v>9</v>
      </c>
      <c r="F34" s="28" t="s">
        <v>162</v>
      </c>
      <c r="G34" s="28" t="str">
        <f>VLOOKUP($A34,'EBA2017'!$A:$G,7,FALSE)</f>
        <v>Two</v>
      </c>
      <c r="H34" s="32" t="str">
        <f>VLOOKUP($A34,'EBA2017'!$A:$T,20,FALSE)</f>
        <v>N/A</v>
      </c>
      <c r="I34" s="28">
        <f t="shared" si="1"/>
        <v>0</v>
      </c>
      <c r="J34" s="1" t="str">
        <f>VLOOKUP($A34,'EBA2017'!$A:$U,21,FALSE)</f>
        <v>N/A</v>
      </c>
      <c r="K34" s="28">
        <f t="shared" si="2"/>
        <v>0</v>
      </c>
      <c r="L34" s="1">
        <f t="shared" si="0"/>
        <v>0</v>
      </c>
      <c r="M34" s="32">
        <f>VLOOKUP($A34,'EBA2017'!$A:$Z,17,FALSE)</f>
        <v>1</v>
      </c>
      <c r="N34" s="1">
        <f>VLOOKUP($A34,'EBA2017'!$A:$Z,18,FALSE)</f>
        <v>7</v>
      </c>
      <c r="O34" s="1">
        <f>VLOOKUP($A34,'EBA2017'!$A:$Z,19,FALSE)</f>
        <v>3</v>
      </c>
      <c r="P34" s="32">
        <f>IF(M34="No Data","No Data",M34/(7-IF(M34&lt;7,VLOOKUP($A34,'Data Gaps'!$A:$N,6,FALSE),0)))</f>
        <v>0.14285714285714285</v>
      </c>
      <c r="Q34" s="1">
        <f>IF(N34="No Data","No Data",N34/(7-IF(N34&lt;7,VLOOKUP($A34,'Data Gaps'!$A:$N,7,FALSE),0)))</f>
        <v>1</v>
      </c>
      <c r="R34" s="1">
        <f>IF(O34="No Data","No Data",O34/(7-IF(O34&lt;7,VLOOKUP($A34,'Data Gaps'!$A:$N,8,FALSE),0)))</f>
        <v>0.42857142857142855</v>
      </c>
      <c r="S34" s="32">
        <f t="shared" si="3"/>
        <v>39.285714285714285</v>
      </c>
    </row>
    <row r="35" spans="1:19" x14ac:dyDescent="0.35">
      <c r="A35" s="1" t="s">
        <v>43</v>
      </c>
      <c r="B35" s="28" t="s">
        <v>44</v>
      </c>
      <c r="C35" s="1" t="s">
        <v>16</v>
      </c>
      <c r="D35" s="1" t="s">
        <v>17</v>
      </c>
      <c r="E35" s="29" t="s">
        <v>9</v>
      </c>
      <c r="F35" s="28" t="s">
        <v>160</v>
      </c>
      <c r="G35" s="28" t="str">
        <f>VLOOKUP($A35,'EBA2017'!$A:$G,7,FALSE)</f>
        <v>Two</v>
      </c>
      <c r="H35" s="32" t="str">
        <f>VLOOKUP($A35,'EBA2017'!$A:$T,20,FALSE)</f>
        <v>N/A</v>
      </c>
      <c r="I35" s="28">
        <f t="shared" si="1"/>
        <v>0</v>
      </c>
      <c r="J35" s="1" t="str">
        <f>VLOOKUP($A35,'EBA2017'!$A:$U,21,FALSE)</f>
        <v>N/A</v>
      </c>
      <c r="K35" s="28">
        <f t="shared" si="2"/>
        <v>0</v>
      </c>
      <c r="L35" s="1">
        <f t="shared" si="0"/>
        <v>0</v>
      </c>
      <c r="M35" s="32">
        <f>VLOOKUP($A35,'EBA2017'!$A:$Z,17,FALSE)</f>
        <v>0</v>
      </c>
      <c r="N35" s="1">
        <f>VLOOKUP($A35,'EBA2017'!$A:$Z,18,FALSE)</f>
        <v>5</v>
      </c>
      <c r="O35" s="1">
        <f>VLOOKUP($A35,'EBA2017'!$A:$Z,19,FALSE)</f>
        <v>6</v>
      </c>
      <c r="P35" s="32">
        <f>IF(M35="No Data","No Data",M35/(7-IF(M35&lt;7,VLOOKUP($A35,'Data Gaps'!$A:$N,6,FALSE),0)))</f>
        <v>0</v>
      </c>
      <c r="Q35" s="1">
        <f>IF(N35="No Data","No Data",N35/(7-IF(N35&lt;7,VLOOKUP($A35,'Data Gaps'!$A:$N,7,FALSE),0)))</f>
        <v>0.7142857142857143</v>
      </c>
      <c r="R35" s="1">
        <f>IF(O35="No Data","No Data",O35/(7-IF(O35&lt;7,VLOOKUP($A35,'Data Gaps'!$A:$N,8,FALSE),0)))</f>
        <v>0.8571428571428571</v>
      </c>
      <c r="S35" s="32">
        <f t="shared" si="3"/>
        <v>39.285714285714285</v>
      </c>
    </row>
    <row r="36" spans="1:19" x14ac:dyDescent="0.35">
      <c r="A36" s="1" t="s">
        <v>34</v>
      </c>
      <c r="B36" s="28" t="s">
        <v>35</v>
      </c>
      <c r="C36" s="1" t="s">
        <v>16</v>
      </c>
      <c r="D36" s="1" t="s">
        <v>17</v>
      </c>
      <c r="E36" s="29" t="s">
        <v>9</v>
      </c>
      <c r="F36" s="28" t="s">
        <v>160</v>
      </c>
      <c r="G36" s="28" t="str">
        <f>VLOOKUP($A36,'EBA2017'!$A:$G,7,FALSE)</f>
        <v>Two</v>
      </c>
      <c r="H36" s="32" t="str">
        <f>VLOOKUP($A36,'EBA2017'!$A:$T,20,FALSE)</f>
        <v>N/A</v>
      </c>
      <c r="I36" s="28">
        <f t="shared" si="1"/>
        <v>0</v>
      </c>
      <c r="J36" s="1" t="str">
        <f>VLOOKUP($A36,'EBA2017'!$A:$U,21,FALSE)</f>
        <v>N/A</v>
      </c>
      <c r="K36" s="28">
        <f t="shared" si="2"/>
        <v>0</v>
      </c>
      <c r="L36" s="1">
        <f t="shared" si="0"/>
        <v>0</v>
      </c>
      <c r="M36" s="32">
        <f>VLOOKUP($A36,'EBA2017'!$A:$Z,17,FALSE)</f>
        <v>0</v>
      </c>
      <c r="N36" s="1">
        <f>VLOOKUP($A36,'EBA2017'!$A:$Z,18,FALSE)</f>
        <v>3.5</v>
      </c>
      <c r="O36" s="1">
        <f>VLOOKUP($A36,'EBA2017'!$A:$Z,19,FALSE)</f>
        <v>6</v>
      </c>
      <c r="P36" s="32">
        <f>IF(M36="No Data","No Data",M36/(7-IF(M36&lt;7,VLOOKUP($A36,'Data Gaps'!$A:$N,6,FALSE),0)))</f>
        <v>0</v>
      </c>
      <c r="Q36" s="1">
        <f>IF(N36="No Data","No Data",N36/(7-IF(N36&lt;7,VLOOKUP($A36,'Data Gaps'!$A:$N,7,FALSE),0)))</f>
        <v>0.5</v>
      </c>
      <c r="R36" s="1">
        <f>IF(O36="No Data","No Data",O36/(7-IF(O36&lt;7,VLOOKUP($A36,'Data Gaps'!$A:$N,8,FALSE),0)))</f>
        <v>1</v>
      </c>
      <c r="S36" s="32">
        <f t="shared" si="3"/>
        <v>37.5</v>
      </c>
    </row>
    <row r="37" spans="1:19" x14ac:dyDescent="0.35">
      <c r="A37" s="1" t="s">
        <v>41</v>
      </c>
      <c r="B37" s="28" t="s">
        <v>42</v>
      </c>
      <c r="C37" s="1" t="s">
        <v>21</v>
      </c>
      <c r="D37" s="1" t="s">
        <v>22</v>
      </c>
      <c r="E37" s="29" t="s">
        <v>25</v>
      </c>
      <c r="F37" s="28" t="s">
        <v>160</v>
      </c>
      <c r="G37" s="28" t="str">
        <f>VLOOKUP($A37,'EBA2017'!$A:$G,7,FALSE)</f>
        <v>Two</v>
      </c>
      <c r="H37" s="32">
        <f>VLOOKUP($A37,'EBA2017'!$A:$T,20,FALSE)</f>
        <v>45</v>
      </c>
      <c r="I37" s="28">
        <f t="shared" si="1"/>
        <v>0.96394485683987274</v>
      </c>
      <c r="J37" s="1">
        <f>VLOOKUP($A37,'EBA2017'!$A:$U,21,FALSE)</f>
        <v>7.8348733533794253</v>
      </c>
      <c r="K37" s="28">
        <f t="shared" si="2"/>
        <v>0.99073643210978646</v>
      </c>
      <c r="L37" s="1">
        <f t="shared" ref="L37:L66" si="4">AVERAGE(I37,K37)</f>
        <v>0.9773406444748296</v>
      </c>
      <c r="M37" s="32">
        <f>VLOOKUP($A37,'EBA2017'!$A:$Z,17,FALSE)</f>
        <v>6</v>
      </c>
      <c r="N37" s="1">
        <f>VLOOKUP($A37,'EBA2017'!$A:$Z,18,FALSE)</f>
        <v>6</v>
      </c>
      <c r="O37" s="1">
        <f>VLOOKUP($A37,'EBA2017'!$A:$Z,19,FALSE)</f>
        <v>4</v>
      </c>
      <c r="P37" s="32">
        <f>IF(M37="No Data","No Data",M37/(7-IF(M37&lt;7,VLOOKUP($A37,'Data Gaps'!$A:$N,6,FALSE),0)))</f>
        <v>0.8571428571428571</v>
      </c>
      <c r="Q37" s="1">
        <f>IF(N37="No Data","No Data",N37/(7-IF(N37&lt;7,VLOOKUP($A37,'Data Gaps'!$A:$N,7,FALSE),0)))</f>
        <v>0.8571428571428571</v>
      </c>
      <c r="R37" s="1">
        <f>IF(O37="No Data","No Data",O37/(7-IF(O37&lt;7,VLOOKUP($A37,'Data Gaps'!$A:$N,8,FALSE),0)))</f>
        <v>0.5714285714285714</v>
      </c>
      <c r="S37" s="32">
        <f t="shared" si="3"/>
        <v>81.576373254727883</v>
      </c>
    </row>
    <row r="38" spans="1:19" x14ac:dyDescent="0.35">
      <c r="A38" s="1" t="s">
        <v>47</v>
      </c>
      <c r="B38" s="28" t="s">
        <v>48</v>
      </c>
      <c r="C38" s="1" t="s">
        <v>49</v>
      </c>
      <c r="D38" s="1" t="s">
        <v>50</v>
      </c>
      <c r="E38" s="29" t="s">
        <v>9</v>
      </c>
      <c r="F38" s="28" t="s">
        <v>159</v>
      </c>
      <c r="G38" s="28" t="str">
        <f>VLOOKUP($A38,'EBA2017'!$A:$G,7,FALSE)</f>
        <v>Two</v>
      </c>
      <c r="H38" s="32">
        <f>VLOOKUP($A38,'EBA2017'!$A:$T,20,FALSE)</f>
        <v>314</v>
      </c>
      <c r="I38" s="28">
        <f t="shared" si="1"/>
        <v>0.67868504772004223</v>
      </c>
      <c r="J38" s="1">
        <f>VLOOKUP($A38,'EBA2017'!$A:$U,21,FALSE)</f>
        <v>19.772693811284348</v>
      </c>
      <c r="K38" s="28">
        <f t="shared" si="2"/>
        <v>0.97662174189270934</v>
      </c>
      <c r="L38" s="1">
        <f t="shared" si="4"/>
        <v>0.82765339480637579</v>
      </c>
      <c r="M38" s="32">
        <f>VLOOKUP($A38,'EBA2017'!$A:$Z,17,FALSE)</f>
        <v>4.4000000000000004</v>
      </c>
      <c r="N38" s="1">
        <f>VLOOKUP($A38,'EBA2017'!$A:$Z,18,FALSE)</f>
        <v>1.5</v>
      </c>
      <c r="O38" s="1">
        <f>VLOOKUP($A38,'EBA2017'!$A:$Z,19,FALSE)</f>
        <v>3</v>
      </c>
      <c r="P38" s="32">
        <f>IF(M38="No Data","No Data",M38/(7-IF(M38&lt;7,VLOOKUP($A38,'Data Gaps'!$A:$N,6,FALSE),0)))</f>
        <v>0.62857142857142867</v>
      </c>
      <c r="Q38" s="1">
        <f>IF(N38="No Data","No Data",N38/(7-IF(N38&lt;7,VLOOKUP($A38,'Data Gaps'!$A:$N,7,FALSE),0)))</f>
        <v>0.21428571428571427</v>
      </c>
      <c r="R38" s="1">
        <f>IF(O38="No Data","No Data",O38/(7-IF(O38&lt;7,VLOOKUP($A38,'Data Gaps'!$A:$N,8,FALSE),0)))</f>
        <v>0.6</v>
      </c>
      <c r="S38" s="32">
        <f t="shared" si="3"/>
        <v>56.762763441587957</v>
      </c>
    </row>
    <row r="39" spans="1:19" x14ac:dyDescent="0.35">
      <c r="A39" s="1" t="s">
        <v>51</v>
      </c>
      <c r="B39" s="28" t="s">
        <v>52</v>
      </c>
      <c r="C39" s="1" t="s">
        <v>16</v>
      </c>
      <c r="D39" s="1" t="s">
        <v>17</v>
      </c>
      <c r="E39" s="29" t="s">
        <v>18</v>
      </c>
      <c r="F39" s="28" t="s">
        <v>160</v>
      </c>
      <c r="G39" s="28" t="str">
        <f>VLOOKUP($A39,'EBA2017'!$A:$G,7,FALSE)</f>
        <v>Two</v>
      </c>
      <c r="H39" s="32" t="str">
        <f>VLOOKUP($A39,'EBA2017'!$A:$T,20,FALSE)</f>
        <v>N/A</v>
      </c>
      <c r="I39" s="28">
        <f t="shared" si="1"/>
        <v>0</v>
      </c>
      <c r="J39" s="1" t="str">
        <f>VLOOKUP($A39,'EBA2017'!$A:$U,21,FALSE)</f>
        <v>N/A</v>
      </c>
      <c r="K39" s="28">
        <f t="shared" si="2"/>
        <v>0</v>
      </c>
      <c r="L39" s="1">
        <f t="shared" si="4"/>
        <v>0</v>
      </c>
      <c r="M39" s="32">
        <f>VLOOKUP($A39,'EBA2017'!$A:$Z,17,FALSE)</f>
        <v>1</v>
      </c>
      <c r="N39" s="1">
        <f>VLOOKUP($A39,'EBA2017'!$A:$Z,18,FALSE)</f>
        <v>4.5000000000000009</v>
      </c>
      <c r="O39" s="1">
        <f>VLOOKUP($A39,'EBA2017'!$A:$Z,19,FALSE)</f>
        <v>0</v>
      </c>
      <c r="P39" s="32">
        <f>IF(M39="No Data","No Data",M39/(7-IF(M39&lt;7,VLOOKUP($A39,'Data Gaps'!$A:$N,6,FALSE),0)))</f>
        <v>0.14285714285714285</v>
      </c>
      <c r="Q39" s="1">
        <f>IF(N39="No Data","No Data",N39/(7-IF(N39&lt;7,VLOOKUP($A39,'Data Gaps'!$A:$N,7,FALSE),0)))</f>
        <v>0.64285714285714302</v>
      </c>
      <c r="R39" s="1">
        <f>IF(O39="No Data","No Data",O39/(7-IF(O39&lt;7,VLOOKUP($A39,'Data Gaps'!$A:$N,8,FALSE),0)))</f>
        <v>0</v>
      </c>
      <c r="S39" s="32">
        <f t="shared" si="3"/>
        <v>19.642857142857146</v>
      </c>
    </row>
    <row r="40" spans="1:19" x14ac:dyDescent="0.35">
      <c r="A40" s="1" t="s">
        <v>55</v>
      </c>
      <c r="B40" s="28" t="s">
        <v>56</v>
      </c>
      <c r="C40" s="1" t="s">
        <v>16</v>
      </c>
      <c r="D40" s="1" t="s">
        <v>17</v>
      </c>
      <c r="E40" s="29" t="s">
        <v>9</v>
      </c>
      <c r="F40" s="28" t="s">
        <v>160</v>
      </c>
      <c r="G40" s="28" t="str">
        <f>VLOOKUP($A40,'EBA2017'!$A:$G,7,FALSE)</f>
        <v>Two</v>
      </c>
      <c r="H40" s="32">
        <f>VLOOKUP($A40,'EBA2017'!$A:$T,20,FALSE)</f>
        <v>231</v>
      </c>
      <c r="I40" s="28">
        <f t="shared" si="1"/>
        <v>0.76670201484623535</v>
      </c>
      <c r="J40" s="1">
        <f>VLOOKUP($A40,'EBA2017'!$A:$U,21,FALSE)</f>
        <v>377.01310058925463</v>
      </c>
      <c r="K40" s="28">
        <f t="shared" si="2"/>
        <v>0.55423830159270571</v>
      </c>
      <c r="L40" s="1">
        <f t="shared" si="4"/>
        <v>0.66047015821947053</v>
      </c>
      <c r="M40" s="32">
        <f>VLOOKUP($A40,'EBA2017'!$A:$Z,17,FALSE)</f>
        <v>3.4</v>
      </c>
      <c r="N40" s="1">
        <f>VLOOKUP($A40,'EBA2017'!$A:$Z,18,FALSE)</f>
        <v>5</v>
      </c>
      <c r="O40" s="1">
        <f>VLOOKUP($A40,'EBA2017'!$A:$Z,19,FALSE)</f>
        <v>2.5</v>
      </c>
      <c r="P40" s="32">
        <f>IF(M40="No Data","No Data",M40/(7-IF(M40&lt;7,VLOOKUP($A40,'Data Gaps'!$A:$N,6,FALSE),0)))</f>
        <v>0.48571428571428571</v>
      </c>
      <c r="Q40" s="1">
        <f>IF(N40="No Data","No Data",N40/(7-IF(N40&lt;7,VLOOKUP($A40,'Data Gaps'!$A:$N,7,FALSE),0)))</f>
        <v>0.7142857142857143</v>
      </c>
      <c r="R40" s="1">
        <f>IF(O40="No Data","No Data",O40/(7-IF(O40&lt;7,VLOOKUP($A40,'Data Gaps'!$A:$N,8,FALSE),0)))</f>
        <v>0.35714285714285715</v>
      </c>
      <c r="S40" s="32">
        <f t="shared" si="3"/>
        <v>55.440325384058198</v>
      </c>
    </row>
    <row r="41" spans="1:19" x14ac:dyDescent="0.35">
      <c r="A41" s="1" t="s">
        <v>59</v>
      </c>
      <c r="B41" s="28" t="s">
        <v>60</v>
      </c>
      <c r="C41" s="1" t="s">
        <v>21</v>
      </c>
      <c r="D41" s="1" t="s">
        <v>22</v>
      </c>
      <c r="E41" s="28" t="s">
        <v>9</v>
      </c>
      <c r="F41" s="28" t="s">
        <v>159</v>
      </c>
      <c r="G41" s="28" t="str">
        <f>VLOOKUP($A41,'EBA2017'!$A:$G,7,FALSE)</f>
        <v>Two</v>
      </c>
      <c r="H41" s="32">
        <f>VLOOKUP($A41,'EBA2017'!$A:$T,20,FALSE)</f>
        <v>113</v>
      </c>
      <c r="I41" s="28">
        <f t="shared" si="1"/>
        <v>0.89183457051961823</v>
      </c>
      <c r="J41" s="1">
        <f>VLOOKUP($A41,'EBA2017'!$A:$U,21,FALSE)</f>
        <v>1.2011094655384913</v>
      </c>
      <c r="K41" s="28">
        <f t="shared" si="2"/>
        <v>0.99857986739852089</v>
      </c>
      <c r="L41" s="1">
        <f t="shared" si="4"/>
        <v>0.94520721895906956</v>
      </c>
      <c r="M41" s="32">
        <f>VLOOKUP($A41,'EBA2017'!$A:$Z,17,FALSE)</f>
        <v>4.8</v>
      </c>
      <c r="N41" s="1">
        <f>VLOOKUP($A41,'EBA2017'!$A:$Z,18,FALSE)</f>
        <v>7</v>
      </c>
      <c r="O41" s="1">
        <f>VLOOKUP($A41,'EBA2017'!$A:$Z,19,FALSE)</f>
        <v>3.5</v>
      </c>
      <c r="P41" s="32">
        <f>IF(M41="No Data","No Data",M41/(7-IF(M41&lt;7,VLOOKUP($A41,'Data Gaps'!$A:$N,6,FALSE),0)))</f>
        <v>0.68571428571428572</v>
      </c>
      <c r="Q41" s="1">
        <f>IF(N41="No Data","No Data",N41/(7-IF(N41&lt;7,VLOOKUP($A41,'Data Gaps'!$A:$N,7,FALSE),0)))</f>
        <v>1</v>
      </c>
      <c r="R41" s="1">
        <f>IF(O41="No Data","No Data",O41/(7-IF(O41&lt;7,VLOOKUP($A41,'Data Gaps'!$A:$N,8,FALSE),0)))</f>
        <v>0.58333333333333337</v>
      </c>
      <c r="S41" s="32">
        <f t="shared" si="3"/>
        <v>80.356370950167218</v>
      </c>
    </row>
    <row r="42" spans="1:19" x14ac:dyDescent="0.35">
      <c r="A42" s="1" t="s">
        <v>61</v>
      </c>
      <c r="B42" s="28" t="s">
        <v>62</v>
      </c>
      <c r="C42" s="1" t="s">
        <v>21</v>
      </c>
      <c r="D42" s="1" t="s">
        <v>22</v>
      </c>
      <c r="E42" s="28" t="s">
        <v>18</v>
      </c>
      <c r="F42" s="28" t="s">
        <v>159</v>
      </c>
      <c r="G42" s="28" t="str">
        <f>VLOOKUP($A42,'EBA2017'!$A:$G,7,FALSE)</f>
        <v>Two</v>
      </c>
      <c r="H42" s="32" t="str">
        <f>VLOOKUP($A42,'EBA2017'!$A:$T,20,FALSE)</f>
        <v>N/A</v>
      </c>
      <c r="I42" s="28">
        <f t="shared" si="1"/>
        <v>0</v>
      </c>
      <c r="J42" s="1" t="str">
        <f>VLOOKUP($A42,'EBA2017'!$A:$U,21,FALSE)</f>
        <v>N/A</v>
      </c>
      <c r="K42" s="28">
        <f t="shared" si="2"/>
        <v>0</v>
      </c>
      <c r="L42" s="1">
        <f t="shared" si="4"/>
        <v>0</v>
      </c>
      <c r="M42" s="32">
        <f>VLOOKUP($A42,'EBA2017'!$A:$Z,17,FALSE)</f>
        <v>0</v>
      </c>
      <c r="N42" s="1">
        <f>VLOOKUP($A42,'EBA2017'!$A:$Z,18,FALSE)</f>
        <v>0</v>
      </c>
      <c r="O42" s="1">
        <f>VLOOKUP($A42,'EBA2017'!$A:$Z,19,FALSE)</f>
        <v>6</v>
      </c>
      <c r="P42" s="32">
        <f>IF(M42="No Data","No Data",M42/(7-IF(M42&lt;7,VLOOKUP($A42,'Data Gaps'!$A:$N,6,FALSE),0)))</f>
        <v>0</v>
      </c>
      <c r="Q42" s="1">
        <f>IF(N42="No Data","No Data",N42/(7-IF(N42&lt;7,VLOOKUP($A42,'Data Gaps'!$A:$N,7,FALSE),0)))</f>
        <v>0</v>
      </c>
      <c r="R42" s="1">
        <f>IF(O42="No Data","No Data",O42/(7-IF(O42&lt;7,VLOOKUP($A42,'Data Gaps'!$A:$N,8,FALSE),0)))</f>
        <v>0.8571428571428571</v>
      </c>
      <c r="S42" s="32">
        <f t="shared" si="3"/>
        <v>21.428571428571427</v>
      </c>
    </row>
    <row r="43" spans="1:19" x14ac:dyDescent="0.35">
      <c r="A43" s="1" t="s">
        <v>63</v>
      </c>
      <c r="B43" s="28" t="s">
        <v>146</v>
      </c>
      <c r="C43" s="1" t="s">
        <v>12</v>
      </c>
      <c r="D43" s="1" t="s">
        <v>13</v>
      </c>
      <c r="E43" s="28" t="s">
        <v>9</v>
      </c>
      <c r="F43" s="28" t="s">
        <v>162</v>
      </c>
      <c r="G43" s="28" t="str">
        <f>VLOOKUP($A43,'EBA2017'!$A:$G,7,FALSE)</f>
        <v>Two</v>
      </c>
      <c r="H43" s="32">
        <f>VLOOKUP($A43,'EBA2017'!$A:$T,20,FALSE)</f>
        <v>804</v>
      </c>
      <c r="I43" s="28">
        <f t="shared" si="1"/>
        <v>0.15906680805938453</v>
      </c>
      <c r="J43" s="1">
        <f>VLOOKUP($A43,'EBA2017'!$A:$U,21,FALSE)</f>
        <v>17.108291157509154</v>
      </c>
      <c r="K43" s="28">
        <f t="shared" si="2"/>
        <v>0.97977200020026278</v>
      </c>
      <c r="L43" s="1">
        <f t="shared" si="4"/>
        <v>0.56941940412982361</v>
      </c>
      <c r="M43" s="32">
        <f>VLOOKUP($A43,'EBA2017'!$A:$Z,17,FALSE)</f>
        <v>5</v>
      </c>
      <c r="N43" s="1">
        <f>VLOOKUP($A43,'EBA2017'!$A:$Z,18,FALSE)</f>
        <v>3.5</v>
      </c>
      <c r="O43" s="1">
        <f>VLOOKUP($A43,'EBA2017'!$A:$Z,19,FALSE)</f>
        <v>7</v>
      </c>
      <c r="P43" s="32">
        <f>IF(M43="No Data","No Data",M43/(7-IF(M43&lt;7,VLOOKUP($A43,'Data Gaps'!$A:$N,6,FALSE),0)))</f>
        <v>0.7142857142857143</v>
      </c>
      <c r="Q43" s="1">
        <f>IF(N43="No Data","No Data",N43/(7-IF(N43&lt;7,VLOOKUP($A43,'Data Gaps'!$A:$N,7,FALSE),0)))</f>
        <v>0.5</v>
      </c>
      <c r="R43" s="1">
        <f>IF(O43="No Data","No Data",O43/(7-IF(O43&lt;7,VLOOKUP($A43,'Data Gaps'!$A:$N,8,FALSE),0)))</f>
        <v>1</v>
      </c>
      <c r="S43" s="32">
        <f t="shared" si="3"/>
        <v>69.592627960388455</v>
      </c>
    </row>
    <row r="44" spans="1:19" x14ac:dyDescent="0.35">
      <c r="A44" s="1" t="s">
        <v>66</v>
      </c>
      <c r="B44" s="28" t="s">
        <v>67</v>
      </c>
      <c r="C44" s="1" t="s">
        <v>49</v>
      </c>
      <c r="D44" s="1" t="s">
        <v>50</v>
      </c>
      <c r="E44" s="28" t="s">
        <v>25</v>
      </c>
      <c r="F44" s="28" t="s">
        <v>161</v>
      </c>
      <c r="G44" s="28" t="str">
        <f>VLOOKUP($A44,'EBA2017'!$A:$G,7,FALSE)</f>
        <v>Two</v>
      </c>
      <c r="H44" s="32">
        <f>VLOOKUP($A44,'EBA2017'!$A:$T,20,FALSE)</f>
        <v>45</v>
      </c>
      <c r="I44" s="28">
        <f t="shared" si="1"/>
        <v>0.96394485683987274</v>
      </c>
      <c r="J44" s="1">
        <f>VLOOKUP($A44,'EBA2017'!$A:$U,21,FALSE)</f>
        <v>0.86651230856263894</v>
      </c>
      <c r="K44" s="28">
        <f t="shared" si="2"/>
        <v>0.99897547857686642</v>
      </c>
      <c r="L44" s="1">
        <f t="shared" si="4"/>
        <v>0.98146016770836964</v>
      </c>
      <c r="M44" s="32">
        <f>VLOOKUP($A44,'EBA2017'!$A:$Z,17,FALSE)</f>
        <v>4.4000000000000004</v>
      </c>
      <c r="N44" s="1">
        <f>VLOOKUP($A44,'EBA2017'!$A:$Z,18,FALSE)</f>
        <v>3.5</v>
      </c>
      <c r="O44" s="1">
        <f>VLOOKUP($A44,'EBA2017'!$A:$Z,19,FALSE)</f>
        <v>5</v>
      </c>
      <c r="P44" s="32">
        <f>IF(M44="No Data","No Data",M44/(7-IF(M44&lt;7,VLOOKUP($A44,'Data Gaps'!$A:$N,6,FALSE),0)))</f>
        <v>0.62857142857142867</v>
      </c>
      <c r="Q44" s="1">
        <f>IF(N44="No Data","No Data",N44/(7-IF(N44&lt;7,VLOOKUP($A44,'Data Gaps'!$A:$N,7,FALSE),0)))</f>
        <v>0.5</v>
      </c>
      <c r="R44" s="1">
        <f>IF(O44="No Data","No Data",O44/(7-IF(O44&lt;7,VLOOKUP($A44,'Data Gaps'!$A:$N,8,FALSE),0)))</f>
        <v>0.7142857142857143</v>
      </c>
      <c r="S44" s="32">
        <f t="shared" si="3"/>
        <v>70.607932764137814</v>
      </c>
    </row>
    <row r="45" spans="1:19" x14ac:dyDescent="0.35">
      <c r="A45" s="1" t="s">
        <v>70</v>
      </c>
      <c r="B45" s="28" t="s">
        <v>71</v>
      </c>
      <c r="C45" s="1" t="s">
        <v>16</v>
      </c>
      <c r="D45" s="1" t="s">
        <v>17</v>
      </c>
      <c r="E45" s="28" t="s">
        <v>9</v>
      </c>
      <c r="F45" s="28" t="s">
        <v>160</v>
      </c>
      <c r="G45" s="28" t="str">
        <f>VLOOKUP($A45,'EBA2017'!$A:$G,7,FALSE)</f>
        <v>Two</v>
      </c>
      <c r="H45" s="32" t="str">
        <f>VLOOKUP($A45,'EBA2017'!$A:$T,20,FALSE)</f>
        <v>N/A</v>
      </c>
      <c r="I45" s="28">
        <f t="shared" si="1"/>
        <v>0</v>
      </c>
      <c r="J45" s="1" t="str">
        <f>VLOOKUP($A45,'EBA2017'!$A:$U,21,FALSE)</f>
        <v>N/A</v>
      </c>
      <c r="K45" s="28">
        <f t="shared" si="2"/>
        <v>0</v>
      </c>
      <c r="L45" s="1">
        <f t="shared" si="4"/>
        <v>0</v>
      </c>
      <c r="M45" s="32">
        <f>VLOOKUP($A45,'EBA2017'!$A:$Z,17,FALSE)</f>
        <v>1.5</v>
      </c>
      <c r="N45" s="1">
        <f>VLOOKUP($A45,'EBA2017'!$A:$Z,18,FALSE)</f>
        <v>4</v>
      </c>
      <c r="O45" s="1">
        <f>VLOOKUP($A45,'EBA2017'!$A:$Z,19,FALSE)</f>
        <v>6</v>
      </c>
      <c r="P45" s="32">
        <f>IF(M45="No Data","No Data",M45/(7-IF(M45&lt;7,VLOOKUP($A45,'Data Gaps'!$A:$N,6,FALSE),0)))</f>
        <v>0.21428571428571427</v>
      </c>
      <c r="Q45" s="1">
        <f>IF(N45="No Data","No Data",N45/(7-IF(N45&lt;7,VLOOKUP($A45,'Data Gaps'!$A:$N,7,FALSE),0)))</f>
        <v>0.5714285714285714</v>
      </c>
      <c r="R45" s="1">
        <f>IF(O45="No Data","No Data",O45/(7-IF(O45&lt;7,VLOOKUP($A45,'Data Gaps'!$A:$N,8,FALSE),0)))</f>
        <v>0.8571428571428571</v>
      </c>
      <c r="S45" s="32">
        <f t="shared" si="3"/>
        <v>41.071428571428569</v>
      </c>
    </row>
    <row r="46" spans="1:19" x14ac:dyDescent="0.35">
      <c r="A46" s="1" t="s">
        <v>30</v>
      </c>
      <c r="B46" s="28" t="s">
        <v>31</v>
      </c>
      <c r="C46" s="1" t="s">
        <v>32</v>
      </c>
      <c r="D46" s="1" t="s">
        <v>33</v>
      </c>
      <c r="E46" s="29" t="s">
        <v>9</v>
      </c>
      <c r="F46" s="28" t="s">
        <v>162</v>
      </c>
      <c r="G46" s="28" t="str">
        <f>VLOOKUP($A46,'EBA2017'!$A:$G,7,FALSE)</f>
        <v>Two</v>
      </c>
      <c r="H46" s="32">
        <f>VLOOKUP($A46,'EBA2017'!$A:$T,20,FALSE)</f>
        <v>152</v>
      </c>
      <c r="I46" s="28">
        <f t="shared" si="1"/>
        <v>0.85047720042417807</v>
      </c>
      <c r="J46" s="1">
        <f>VLOOKUP($A46,'EBA2017'!$A:$U,21,FALSE)</f>
        <v>107.79800684624885</v>
      </c>
      <c r="K46" s="28">
        <f t="shared" si="2"/>
        <v>0.87254495257167042</v>
      </c>
      <c r="L46" s="1">
        <f t="shared" si="4"/>
        <v>0.86151107649792424</v>
      </c>
      <c r="M46" s="32">
        <f>VLOOKUP($A46,'EBA2017'!$A:$Z,17,FALSE)</f>
        <v>3.4</v>
      </c>
      <c r="N46" s="1">
        <f>VLOOKUP($A46,'EBA2017'!$A:$Z,18,FALSE)</f>
        <v>5</v>
      </c>
      <c r="O46" s="1">
        <f>VLOOKUP($A46,'EBA2017'!$A:$Z,19,FALSE)</f>
        <v>4</v>
      </c>
      <c r="P46" s="32">
        <f>IF(M46="No Data","No Data",M46/(7-IF(M46&lt;7,VLOOKUP($A46,'Data Gaps'!$A:$N,6,FALSE),0)))</f>
        <v>0.48571428571428571</v>
      </c>
      <c r="Q46" s="1">
        <f>IF(N46="No Data","No Data",N46/(7-IF(N46&lt;7,VLOOKUP($A46,'Data Gaps'!$A:$N,7,FALSE),0)))</f>
        <v>0.7142857142857143</v>
      </c>
      <c r="R46" s="1">
        <f>IF(O46="No Data","No Data",O46/(7-IF(O46&lt;7,VLOOKUP($A46,'Data Gaps'!$A:$N,8,FALSE),0)))</f>
        <v>0.5714285714285714</v>
      </c>
      <c r="S46" s="32">
        <f t="shared" si="3"/>
        <v>65.823491198162401</v>
      </c>
    </row>
    <row r="47" spans="1:19" x14ac:dyDescent="0.35">
      <c r="A47" s="1" t="s">
        <v>76</v>
      </c>
      <c r="B47" s="28" t="s">
        <v>77</v>
      </c>
      <c r="C47" s="1" t="s">
        <v>32</v>
      </c>
      <c r="D47" s="1" t="s">
        <v>33</v>
      </c>
      <c r="E47" s="28" t="s">
        <v>9</v>
      </c>
      <c r="F47" s="28" t="s">
        <v>160</v>
      </c>
      <c r="G47" s="28" t="str">
        <f>VLOOKUP($A47,'EBA2017'!$A:$G,7,FALSE)</f>
        <v>Two</v>
      </c>
      <c r="H47" s="32" t="str">
        <f>VLOOKUP($A47,'EBA2017'!$A:$T,20,FALSE)</f>
        <v>No data</v>
      </c>
      <c r="I47" s="28" t="str">
        <f t="shared" si="1"/>
        <v>No data</v>
      </c>
      <c r="J47" s="1">
        <f>VLOOKUP($A47,'EBA2017'!$A:$U,21,FALSE)</f>
        <v>0.4637894772542791</v>
      </c>
      <c r="K47" s="28">
        <f t="shared" si="2"/>
        <v>0.99945163819304639</v>
      </c>
      <c r="L47" s="1">
        <f t="shared" si="4"/>
        <v>0.99945163819304639</v>
      </c>
      <c r="M47" s="32">
        <f>VLOOKUP($A47,'EBA2017'!$A:$Z,17,FALSE)</f>
        <v>3.4</v>
      </c>
      <c r="N47" s="1">
        <f>VLOOKUP($A47,'EBA2017'!$A:$Z,18,FALSE)</f>
        <v>5</v>
      </c>
      <c r="O47" s="1">
        <f>VLOOKUP($A47,'EBA2017'!$A:$Z,19,FALSE)</f>
        <v>3</v>
      </c>
      <c r="P47" s="32">
        <f>IF(M47="No Data","No Data",M47/(7-IF(M47&lt;7,VLOOKUP($A47,'Data Gaps'!$A:$N,6,FALSE),0)))</f>
        <v>0.48571428571428571</v>
      </c>
      <c r="Q47" s="1">
        <f>IF(N47="No Data","No Data",N47/(7-IF(N47&lt;7,VLOOKUP($A47,'Data Gaps'!$A:$N,7,FALSE),0)))</f>
        <v>0.7142857142857143</v>
      </c>
      <c r="R47" s="1">
        <f>IF(O47="No Data","No Data",O47/(7-IF(O47&lt;7,VLOOKUP($A47,'Data Gaps'!$A:$N,8,FALSE),0)))</f>
        <v>0.42857142857142855</v>
      </c>
      <c r="S47" s="32">
        <f t="shared" si="3"/>
        <v>65.700576669111868</v>
      </c>
    </row>
    <row r="48" spans="1:19" x14ac:dyDescent="0.35">
      <c r="A48" s="1" t="s">
        <v>122</v>
      </c>
      <c r="B48" s="28" t="s">
        <v>123</v>
      </c>
      <c r="C48" s="1" t="s">
        <v>12</v>
      </c>
      <c r="D48" s="1" t="s">
        <v>13</v>
      </c>
      <c r="E48" s="29" t="s">
        <v>9</v>
      </c>
      <c r="F48" s="28" t="s">
        <v>160</v>
      </c>
      <c r="G48" s="28" t="str">
        <f>VLOOKUP($A48,'EBA2017'!$A:$G,7,FALSE)</f>
        <v>Two</v>
      </c>
      <c r="H48" s="32">
        <f>VLOOKUP($A48,'EBA2017'!$A:$T,20,FALSE)</f>
        <v>365</v>
      </c>
      <c r="I48" s="28">
        <f t="shared" si="1"/>
        <v>0.62460233297985135</v>
      </c>
      <c r="J48" s="1">
        <f>VLOOKUP($A48,'EBA2017'!$A:$U,21,FALSE)</f>
        <v>3.6897076801334965</v>
      </c>
      <c r="K48" s="28">
        <f t="shared" si="2"/>
        <v>0.99563747159037141</v>
      </c>
      <c r="L48" s="1">
        <f t="shared" si="4"/>
        <v>0.81011990228511133</v>
      </c>
      <c r="M48" s="32">
        <f>VLOOKUP($A48,'EBA2017'!$A:$Z,17,FALSE)</f>
        <v>2.4</v>
      </c>
      <c r="N48" s="1">
        <f>VLOOKUP($A48,'EBA2017'!$A:$Z,18,FALSE)</f>
        <v>3.5</v>
      </c>
      <c r="O48" s="1">
        <f>VLOOKUP($A48,'EBA2017'!$A:$Z,19,FALSE)</f>
        <v>3.5</v>
      </c>
      <c r="P48" s="32">
        <f>IF(M48="No Data","No Data",M48/(7-IF(M48&lt;7,VLOOKUP($A48,'Data Gaps'!$A:$N,6,FALSE),0)))</f>
        <v>0.34285714285714286</v>
      </c>
      <c r="Q48" s="1">
        <f>IF(N48="No Data","No Data",N48/(7-IF(N48&lt;7,VLOOKUP($A48,'Data Gaps'!$A:$N,7,FALSE),0)))</f>
        <v>0.5</v>
      </c>
      <c r="R48" s="1">
        <f>IF(O48="No Data","No Data",O48/(7-IF(O48&lt;7,VLOOKUP($A48,'Data Gaps'!$A:$N,8,FALSE),0)))</f>
        <v>0.5</v>
      </c>
      <c r="S48" s="32">
        <f t="shared" si="3"/>
        <v>53.824426128556354</v>
      </c>
    </row>
    <row r="49" spans="1:19" x14ac:dyDescent="0.35">
      <c r="A49" s="1" t="s">
        <v>88</v>
      </c>
      <c r="B49" s="28" t="s">
        <v>89</v>
      </c>
      <c r="C49" s="1" t="s">
        <v>49</v>
      </c>
      <c r="D49" s="1" t="s">
        <v>50</v>
      </c>
      <c r="E49" s="28" t="s">
        <v>9</v>
      </c>
      <c r="F49" s="28" t="s">
        <v>161</v>
      </c>
      <c r="G49" s="28" t="str">
        <f>VLOOKUP($A49,'EBA2017'!$A:$G,7,FALSE)</f>
        <v>Two</v>
      </c>
      <c r="H49" s="32" t="str">
        <f>VLOOKUP($A49,'EBA2017'!$A:$T,20,FALSE)</f>
        <v>N/A</v>
      </c>
      <c r="I49" s="28">
        <f t="shared" si="1"/>
        <v>0</v>
      </c>
      <c r="J49" s="1" t="str">
        <f>VLOOKUP($A49,'EBA2017'!$A:$U,21,FALSE)</f>
        <v>N/A</v>
      </c>
      <c r="K49" s="28">
        <f t="shared" si="2"/>
        <v>0</v>
      </c>
      <c r="L49" s="1">
        <f t="shared" si="4"/>
        <v>0</v>
      </c>
      <c r="M49" s="32">
        <f>VLOOKUP($A49,'EBA2017'!$A:$Z,17,FALSE)</f>
        <v>0</v>
      </c>
      <c r="N49" s="1">
        <f>VLOOKUP($A49,'EBA2017'!$A:$Z,18,FALSE)</f>
        <v>5.5</v>
      </c>
      <c r="O49" s="1">
        <f>VLOOKUP($A49,'EBA2017'!$A:$Z,19,FALSE)</f>
        <v>3.5</v>
      </c>
      <c r="P49" s="32">
        <f>IF(M49="No Data","No Data",M49/(7-IF(M49&lt;7,VLOOKUP($A49,'Data Gaps'!$A:$N,6,FALSE),0)))</f>
        <v>0</v>
      </c>
      <c r="Q49" s="1">
        <f>IF(N49="No Data","No Data",N49/(7-IF(N49&lt;7,VLOOKUP($A49,'Data Gaps'!$A:$N,7,FALSE),0)))</f>
        <v>0.7857142857142857</v>
      </c>
      <c r="R49" s="1">
        <f>IF(O49="No Data","No Data",O49/(7-IF(O49&lt;7,VLOOKUP($A49,'Data Gaps'!$A:$N,8,FALSE),0)))</f>
        <v>0.5</v>
      </c>
      <c r="S49" s="32">
        <f t="shared" si="3"/>
        <v>32.142857142857139</v>
      </c>
    </row>
    <row r="50" spans="1:19" x14ac:dyDescent="0.35">
      <c r="A50" s="1" t="s">
        <v>86</v>
      </c>
      <c r="B50" s="28" t="s">
        <v>87</v>
      </c>
      <c r="C50" s="1" t="s">
        <v>21</v>
      </c>
      <c r="D50" s="1" t="s">
        <v>22</v>
      </c>
      <c r="E50" s="28" t="s">
        <v>25</v>
      </c>
      <c r="F50" s="28" t="s">
        <v>161</v>
      </c>
      <c r="G50" s="28" t="str">
        <f>VLOOKUP($A50,'EBA2017'!$A:$G,7,FALSE)</f>
        <v>Two</v>
      </c>
      <c r="H50" s="32">
        <f>VLOOKUP($A50,'EBA2017'!$A:$T,20,FALSE)</f>
        <v>765</v>
      </c>
      <c r="I50" s="28">
        <f t="shared" si="1"/>
        <v>0.20042417815482463</v>
      </c>
      <c r="J50" s="1">
        <f>VLOOKUP($A50,'EBA2017'!$A:$U,21,FALSE)</f>
        <v>11.529061690333062</v>
      </c>
      <c r="K50" s="28">
        <f t="shared" si="2"/>
        <v>0.98636860599248943</v>
      </c>
      <c r="L50" s="1">
        <f t="shared" si="4"/>
        <v>0.59339639207365702</v>
      </c>
      <c r="M50" s="32">
        <f>VLOOKUP($A50,'EBA2017'!$A:$Z,17,FALSE)</f>
        <v>6</v>
      </c>
      <c r="N50" s="1">
        <f>VLOOKUP($A50,'EBA2017'!$A:$Z,18,FALSE)</f>
        <v>4</v>
      </c>
      <c r="O50" s="1">
        <f>VLOOKUP($A50,'EBA2017'!$A:$Z,19,FALSE)</f>
        <v>4.5000000000000009</v>
      </c>
      <c r="P50" s="32">
        <f>IF(M50="No Data","No Data",M50/(7-IF(M50&lt;7,VLOOKUP($A50,'Data Gaps'!$A:$N,6,FALSE),0)))</f>
        <v>0.8571428571428571</v>
      </c>
      <c r="Q50" s="1">
        <f>IF(N50="No Data","No Data",N50/(7-IF(N50&lt;7,VLOOKUP($A50,'Data Gaps'!$A:$N,7,FALSE),0)))</f>
        <v>0.5714285714285714</v>
      </c>
      <c r="R50" s="1">
        <f>IF(O50="No Data","No Data",O50/(7-IF(O50&lt;7,VLOOKUP($A50,'Data Gaps'!$A:$N,8,FALSE),0)))</f>
        <v>0.64285714285714302</v>
      </c>
      <c r="S50" s="32">
        <f t="shared" si="3"/>
        <v>66.620624087555711</v>
      </c>
    </row>
    <row r="51" spans="1:19" x14ac:dyDescent="0.35">
      <c r="A51" s="1" t="s">
        <v>92</v>
      </c>
      <c r="B51" s="28" t="s">
        <v>93</v>
      </c>
      <c r="C51" s="1" t="s">
        <v>32</v>
      </c>
      <c r="D51" s="1" t="s">
        <v>33</v>
      </c>
      <c r="E51" s="28" t="s">
        <v>9</v>
      </c>
      <c r="F51" s="28" t="s">
        <v>161</v>
      </c>
      <c r="G51" s="28" t="str">
        <f>VLOOKUP($A51,'EBA2017'!$A:$G,7,FALSE)</f>
        <v>Two</v>
      </c>
      <c r="H51" s="32">
        <f>VLOOKUP($A51,'EBA2017'!$A:$T,20,FALSE)</f>
        <v>41</v>
      </c>
      <c r="I51" s="28">
        <f t="shared" si="1"/>
        <v>0.96818663838812302</v>
      </c>
      <c r="J51" s="1">
        <f>VLOOKUP($A51,'EBA2017'!$A:$U,21,FALSE)</f>
        <v>7.3159209882622909</v>
      </c>
      <c r="K51" s="28">
        <f t="shared" si="2"/>
        <v>0.99135001579508952</v>
      </c>
      <c r="L51" s="1">
        <f t="shared" si="4"/>
        <v>0.97976832709160622</v>
      </c>
      <c r="M51" s="32">
        <f>VLOOKUP($A51,'EBA2017'!$A:$Z,17,FALSE)</f>
        <v>4.4000000000000004</v>
      </c>
      <c r="N51" s="1">
        <f>VLOOKUP($A51,'EBA2017'!$A:$Z,18,FALSE)</f>
        <v>3</v>
      </c>
      <c r="O51" s="1">
        <f>VLOOKUP($A51,'EBA2017'!$A:$Z,19,FALSE)</f>
        <v>3</v>
      </c>
      <c r="P51" s="32">
        <f>IF(M51="No Data","No Data",M51/(7-IF(M51&lt;7,VLOOKUP($A51,'Data Gaps'!$A:$N,6,FALSE),0)))</f>
        <v>0.62857142857142867</v>
      </c>
      <c r="Q51" s="1">
        <f>IF(N51="No Data","No Data",N51/(7-IF(N51&lt;7,VLOOKUP($A51,'Data Gaps'!$A:$N,7,FALSE),0)))</f>
        <v>0.42857142857142855</v>
      </c>
      <c r="R51" s="1">
        <f>IF(O51="No Data","No Data",O51/(7-IF(O51&lt;7,VLOOKUP($A51,'Data Gaps'!$A:$N,8,FALSE),0)))</f>
        <v>0.42857142857142855</v>
      </c>
      <c r="S51" s="32">
        <f t="shared" si="3"/>
        <v>61.637065320147286</v>
      </c>
    </row>
    <row r="52" spans="1:19" x14ac:dyDescent="0.35">
      <c r="A52" s="1" t="s">
        <v>90</v>
      </c>
      <c r="B52" s="28" t="s">
        <v>91</v>
      </c>
      <c r="C52" s="1" t="s">
        <v>16</v>
      </c>
      <c r="D52" s="1" t="s">
        <v>17</v>
      </c>
      <c r="E52" s="28" t="s">
        <v>18</v>
      </c>
      <c r="F52" s="28" t="s">
        <v>159</v>
      </c>
      <c r="G52" s="28" t="str">
        <f>VLOOKUP($A52,'EBA2017'!$A:$G,7,FALSE)</f>
        <v>Two</v>
      </c>
      <c r="H52" s="32" t="str">
        <f>VLOOKUP($A52,'EBA2017'!$A:$T,20,FALSE)</f>
        <v>No practice</v>
      </c>
      <c r="I52" s="28">
        <f t="shared" si="1"/>
        <v>0</v>
      </c>
      <c r="J52" s="1" t="str">
        <f>VLOOKUP($A52,'EBA2017'!$A:$U,21,FALSE)</f>
        <v>No practice</v>
      </c>
      <c r="K52" s="28">
        <f t="shared" si="2"/>
        <v>0</v>
      </c>
      <c r="L52" s="1">
        <f t="shared" si="4"/>
        <v>0</v>
      </c>
      <c r="M52" s="32">
        <f>VLOOKUP($A52,'EBA2017'!$A:$Z,17,FALSE)</f>
        <v>3.4</v>
      </c>
      <c r="N52" s="1">
        <f>VLOOKUP($A52,'EBA2017'!$A:$Z,18,FALSE)</f>
        <v>4</v>
      </c>
      <c r="O52" s="1">
        <f>VLOOKUP($A52,'EBA2017'!$A:$Z,19,FALSE)</f>
        <v>3.5</v>
      </c>
      <c r="P52" s="32">
        <f>IF(M52="No Data","No Data",M52/(7-IF(M52&lt;7,VLOOKUP($A52,'Data Gaps'!$A:$N,6,FALSE),0)))</f>
        <v>0.48571428571428571</v>
      </c>
      <c r="Q52" s="1">
        <f>IF(N52="No Data","No Data",N52/(7-IF(N52&lt;7,VLOOKUP($A52,'Data Gaps'!$A:$N,7,FALSE),0)))</f>
        <v>0.5714285714285714</v>
      </c>
      <c r="R52" s="1">
        <f>IF(O52="No Data","No Data",O52/(7-IF(O52&lt;7,VLOOKUP($A52,'Data Gaps'!$A:$N,8,FALSE),0)))</f>
        <v>0.5</v>
      </c>
      <c r="S52" s="32">
        <f t="shared" si="3"/>
        <v>38.928571428571431</v>
      </c>
    </row>
    <row r="53" spans="1:19" x14ac:dyDescent="0.35">
      <c r="A53" s="1" t="s">
        <v>80</v>
      </c>
      <c r="B53" s="28" t="s">
        <v>81</v>
      </c>
      <c r="C53" s="1" t="s">
        <v>16</v>
      </c>
      <c r="D53" s="1" t="s">
        <v>17</v>
      </c>
      <c r="E53" s="28" t="s">
        <v>18</v>
      </c>
      <c r="F53" s="28" t="s">
        <v>160</v>
      </c>
      <c r="G53" s="28" t="str">
        <f>VLOOKUP($A53,'EBA2017'!$A:$G,7,FALSE)</f>
        <v>Two</v>
      </c>
      <c r="H53" s="32">
        <f>VLOOKUP($A53,'EBA2017'!$A:$T,20,FALSE)</f>
        <v>913</v>
      </c>
      <c r="I53" s="28">
        <f t="shared" si="1"/>
        <v>4.3478260869564758E-2</v>
      </c>
      <c r="J53" s="1">
        <f>VLOOKUP($A53,'EBA2017'!$A:$U,21,FALSE)</f>
        <v>3030.4803540895941</v>
      </c>
      <c r="K53" s="28">
        <f t="shared" si="2"/>
        <v>0</v>
      </c>
      <c r="L53" s="1">
        <f t="shared" si="4"/>
        <v>2.1739130434782379E-2</v>
      </c>
      <c r="M53" s="32">
        <f>VLOOKUP($A53,'EBA2017'!$A:$Z,17,FALSE)</f>
        <v>3.5</v>
      </c>
      <c r="N53" s="1">
        <f>VLOOKUP($A53,'EBA2017'!$A:$Z,18,FALSE)</f>
        <v>4.5000000000000009</v>
      </c>
      <c r="O53" s="1">
        <f>VLOOKUP($A53,'EBA2017'!$A:$Z,19,FALSE)</f>
        <v>3</v>
      </c>
      <c r="P53" s="32">
        <f>IF(M53="No Data","No Data",M53/(7-IF(M53&lt;7,VLOOKUP($A53,'Data Gaps'!$A:$N,6,FALSE),0)))</f>
        <v>0.5</v>
      </c>
      <c r="Q53" s="1">
        <f>IF(N53="No Data","No Data",N53/(7-IF(N53&lt;7,VLOOKUP($A53,'Data Gaps'!$A:$N,7,FALSE),0)))</f>
        <v>0.64285714285714302</v>
      </c>
      <c r="R53" s="1">
        <f>IF(O53="No Data","No Data",O53/(7-IF(O53&lt;7,VLOOKUP($A53,'Data Gaps'!$A:$N,8,FALSE),0)))</f>
        <v>0.42857142857142855</v>
      </c>
      <c r="S53" s="32">
        <f t="shared" si="3"/>
        <v>39.829192546583855</v>
      </c>
    </row>
    <row r="54" spans="1:19" x14ac:dyDescent="0.35">
      <c r="A54" s="1" t="s">
        <v>82</v>
      </c>
      <c r="B54" s="28" t="s">
        <v>83</v>
      </c>
      <c r="C54" s="1" t="s">
        <v>32</v>
      </c>
      <c r="D54" s="1" t="s">
        <v>33</v>
      </c>
      <c r="E54" s="28" t="s">
        <v>25</v>
      </c>
      <c r="F54" s="28" t="s">
        <v>161</v>
      </c>
      <c r="G54" s="28" t="str">
        <f>VLOOKUP($A54,'EBA2017'!$A:$G,7,FALSE)</f>
        <v>Two</v>
      </c>
      <c r="H54" s="32" t="str">
        <f>VLOOKUP($A54,'EBA2017'!$A:$T,20,FALSE)</f>
        <v>N/A</v>
      </c>
      <c r="I54" s="28">
        <f t="shared" si="1"/>
        <v>0</v>
      </c>
      <c r="J54" s="1" t="str">
        <f>VLOOKUP($A54,'EBA2017'!$A:$U,21,FALSE)</f>
        <v>N/A</v>
      </c>
      <c r="K54" s="28">
        <f t="shared" si="2"/>
        <v>0</v>
      </c>
      <c r="L54" s="1">
        <f t="shared" si="4"/>
        <v>0</v>
      </c>
      <c r="M54" s="32">
        <f>VLOOKUP($A54,'EBA2017'!$A:$Z,17,FALSE)</f>
        <v>0</v>
      </c>
      <c r="N54" s="1">
        <f>VLOOKUP($A54,'EBA2017'!$A:$Z,18,FALSE)</f>
        <v>3.5</v>
      </c>
      <c r="O54" s="1">
        <f>VLOOKUP($A54,'EBA2017'!$A:$Z,19,FALSE)</f>
        <v>6</v>
      </c>
      <c r="P54" s="32">
        <f>IF(M54="No Data","No Data",M54/(7-IF(M54&lt;7,VLOOKUP($A54,'Data Gaps'!$A:$N,6,FALSE),0)))</f>
        <v>0</v>
      </c>
      <c r="Q54" s="1">
        <f>IF(N54="No Data","No Data",N54/(7-IF(N54&lt;7,VLOOKUP($A54,'Data Gaps'!$A:$N,7,FALSE),0)))</f>
        <v>0.5</v>
      </c>
      <c r="R54" s="1">
        <f>IF(O54="No Data","No Data",O54/(7-IF(O54&lt;7,VLOOKUP($A54,'Data Gaps'!$A:$N,8,FALSE),0)))</f>
        <v>0.8571428571428571</v>
      </c>
      <c r="S54" s="32">
        <f t="shared" si="3"/>
        <v>33.928571428571431</v>
      </c>
    </row>
    <row r="55" spans="1:19" x14ac:dyDescent="0.35">
      <c r="A55" s="1" t="s">
        <v>100</v>
      </c>
      <c r="B55" s="28" t="s">
        <v>101</v>
      </c>
      <c r="C55" s="1" t="s">
        <v>16</v>
      </c>
      <c r="D55" s="1" t="s">
        <v>17</v>
      </c>
      <c r="E55" s="28" t="s">
        <v>18</v>
      </c>
      <c r="F55" s="28" t="s">
        <v>161</v>
      </c>
      <c r="G55" s="28" t="str">
        <f>VLOOKUP($A55,'EBA2017'!$A:$G,7,FALSE)</f>
        <v>Two</v>
      </c>
      <c r="H55" s="32" t="str">
        <f>VLOOKUP($A55,'EBA2017'!$A:$T,20,FALSE)</f>
        <v>N/A</v>
      </c>
      <c r="I55" s="28">
        <f t="shared" si="1"/>
        <v>0</v>
      </c>
      <c r="J55" s="1" t="str">
        <f>VLOOKUP($A55,'EBA2017'!$A:$U,21,FALSE)</f>
        <v>N/A</v>
      </c>
      <c r="K55" s="28">
        <f t="shared" si="2"/>
        <v>0</v>
      </c>
      <c r="L55" s="1">
        <f t="shared" si="4"/>
        <v>0</v>
      </c>
      <c r="M55" s="32">
        <f>VLOOKUP($A55,'EBA2017'!$A:$Z,17,FALSE)</f>
        <v>0</v>
      </c>
      <c r="N55" s="1">
        <f>VLOOKUP($A55,'EBA2017'!$A:$Z,18,FALSE)</f>
        <v>3</v>
      </c>
      <c r="O55" s="1">
        <f>VLOOKUP($A55,'EBA2017'!$A:$Z,19,FALSE)</f>
        <v>3.5</v>
      </c>
      <c r="P55" s="32">
        <f>IF(M55="No Data","No Data",M55/(7-IF(M55&lt;7,VLOOKUP($A55,'Data Gaps'!$A:$N,6,FALSE),0)))</f>
        <v>0</v>
      </c>
      <c r="Q55" s="1">
        <f>IF(N55="No Data","No Data",N55/(7-IF(N55&lt;7,VLOOKUP($A55,'Data Gaps'!$A:$N,7,FALSE),0)))</f>
        <v>0.5</v>
      </c>
      <c r="R55" s="1">
        <f>IF(O55="No Data","No Data",O55/(7-IF(O55&lt;7,VLOOKUP($A55,'Data Gaps'!$A:$N,8,FALSE),0)))</f>
        <v>0.5</v>
      </c>
      <c r="S55" s="32">
        <f t="shared" si="3"/>
        <v>25</v>
      </c>
    </row>
    <row r="56" spans="1:19" x14ac:dyDescent="0.35">
      <c r="A56" s="1" t="s">
        <v>102</v>
      </c>
      <c r="B56" s="28" t="s">
        <v>103</v>
      </c>
      <c r="C56" s="1" t="s">
        <v>16</v>
      </c>
      <c r="D56" s="1" t="s">
        <v>17</v>
      </c>
      <c r="E56" s="29" t="s">
        <v>9</v>
      </c>
      <c r="F56" s="28" t="s">
        <v>160</v>
      </c>
      <c r="G56" s="28" t="str">
        <f>VLOOKUP($A56,'EBA2017'!$A:$G,7,FALSE)</f>
        <v>Two</v>
      </c>
      <c r="H56" s="32">
        <f>VLOOKUP($A56,'EBA2017'!$A:$T,20,FALSE)</f>
        <v>225</v>
      </c>
      <c r="I56" s="28">
        <f t="shared" si="1"/>
        <v>0.77306468716861065</v>
      </c>
      <c r="J56" s="1">
        <f>VLOOKUP($A56,'EBA2017'!$A:$U,21,FALSE)</f>
        <v>6.0367852468278835</v>
      </c>
      <c r="K56" s="28">
        <f t="shared" si="2"/>
        <v>0.99286240281746119</v>
      </c>
      <c r="L56" s="1">
        <f t="shared" si="4"/>
        <v>0.88296354499303598</v>
      </c>
      <c r="M56" s="32">
        <f>VLOOKUP($A56,'EBA2017'!$A:$Z,17,FALSE)</f>
        <v>4</v>
      </c>
      <c r="N56" s="1">
        <f>VLOOKUP($A56,'EBA2017'!$A:$Z,18,FALSE)</f>
        <v>3</v>
      </c>
      <c r="O56" s="1">
        <f>VLOOKUP($A56,'EBA2017'!$A:$Z,19,FALSE)</f>
        <v>3</v>
      </c>
      <c r="P56" s="32">
        <f>IF(M56="No Data","No Data",M56/(7-IF(M56&lt;7,VLOOKUP($A56,'Data Gaps'!$A:$N,6,FALSE),0)))</f>
        <v>0.5714285714285714</v>
      </c>
      <c r="Q56" s="1">
        <f>IF(N56="No Data","No Data",N56/(7-IF(N56&lt;7,VLOOKUP($A56,'Data Gaps'!$A:$N,7,FALSE),0)))</f>
        <v>0.42857142857142855</v>
      </c>
      <c r="R56" s="1">
        <f>IF(O56="No Data","No Data",O56/(7-IF(O56&lt;7,VLOOKUP($A56,'Data Gaps'!$A:$N,8,FALSE),0)))</f>
        <v>0.42857142857142855</v>
      </c>
      <c r="S56" s="32">
        <f t="shared" si="3"/>
        <v>57.788374339111613</v>
      </c>
    </row>
    <row r="57" spans="1:19" x14ac:dyDescent="0.35">
      <c r="A57" s="1" t="s">
        <v>98</v>
      </c>
      <c r="B57" s="28" t="s">
        <v>99</v>
      </c>
      <c r="C57" s="1" t="s">
        <v>21</v>
      </c>
      <c r="D57" s="1" t="s">
        <v>22</v>
      </c>
      <c r="E57" s="28" t="s">
        <v>9</v>
      </c>
      <c r="F57" s="28" t="s">
        <v>160</v>
      </c>
      <c r="G57" s="28" t="str">
        <f>VLOOKUP($A57,'EBA2017'!$A:$G,7,FALSE)</f>
        <v>Two</v>
      </c>
      <c r="H57" s="32">
        <f>VLOOKUP($A57,'EBA2017'!$A:$T,20,FALSE)</f>
        <v>28</v>
      </c>
      <c r="I57" s="28">
        <f t="shared" si="1"/>
        <v>0.98197242841993637</v>
      </c>
      <c r="J57" s="1">
        <f>VLOOKUP($A57,'EBA2017'!$A:$U,21,FALSE)</f>
        <v>82.474226804123703</v>
      </c>
      <c r="K57" s="28">
        <f t="shared" si="2"/>
        <v>0.9024865412963784</v>
      </c>
      <c r="L57" s="1">
        <f t="shared" si="4"/>
        <v>0.94222948485815738</v>
      </c>
      <c r="M57" s="32">
        <f>VLOOKUP($A57,'EBA2017'!$A:$Z,17,FALSE)</f>
        <v>4.8</v>
      </c>
      <c r="N57" s="1">
        <f>VLOOKUP($A57,'EBA2017'!$A:$Z,18,FALSE)</f>
        <v>7</v>
      </c>
      <c r="O57" s="1">
        <f>VLOOKUP($A57,'EBA2017'!$A:$Z,19,FALSE)</f>
        <v>3.5</v>
      </c>
      <c r="P57" s="32">
        <f>IF(M57="No Data","No Data",M57/(7-IF(M57&lt;7,VLOOKUP($A57,'Data Gaps'!$A:$N,6,FALSE),0)))</f>
        <v>0.68571428571428572</v>
      </c>
      <c r="Q57" s="1">
        <f>IF(N57="No Data","No Data",N57/(7-IF(N57&lt;7,VLOOKUP($A57,'Data Gaps'!$A:$N,7,FALSE),0)))</f>
        <v>1</v>
      </c>
      <c r="R57" s="1">
        <f>IF(O57="No Data","No Data",O57/(7-IF(O57&lt;7,VLOOKUP($A57,'Data Gaps'!$A:$N,8,FALSE),0)))</f>
        <v>0.5</v>
      </c>
      <c r="S57" s="32">
        <f t="shared" si="3"/>
        <v>78.198594264311083</v>
      </c>
    </row>
    <row r="58" spans="1:19" x14ac:dyDescent="0.35">
      <c r="A58" s="1" t="s">
        <v>106</v>
      </c>
      <c r="B58" s="28" t="s">
        <v>107</v>
      </c>
      <c r="C58" s="1" t="s">
        <v>32</v>
      </c>
      <c r="D58" s="1" t="s">
        <v>33</v>
      </c>
      <c r="E58" s="29" t="s">
        <v>9</v>
      </c>
      <c r="F58" s="28" t="s">
        <v>159</v>
      </c>
      <c r="G58" s="28" t="str">
        <f>VLOOKUP($A58,'EBA2017'!$A:$G,7,FALSE)</f>
        <v>Two</v>
      </c>
      <c r="H58" s="32">
        <f>VLOOKUP($A58,'EBA2017'!$A:$T,20,FALSE)</f>
        <v>134</v>
      </c>
      <c r="I58" s="28">
        <f t="shared" si="1"/>
        <v>0.86956521739130432</v>
      </c>
      <c r="J58" s="1">
        <f>VLOOKUP($A58,'EBA2017'!$A:$U,21,FALSE)</f>
        <v>9.2283543159630703</v>
      </c>
      <c r="K58" s="28">
        <f t="shared" si="2"/>
        <v>0.98908884893665883</v>
      </c>
      <c r="L58" s="1">
        <f t="shared" si="4"/>
        <v>0.92932703316398158</v>
      </c>
      <c r="M58" s="32">
        <f>VLOOKUP($A58,'EBA2017'!$A:$Z,17,FALSE)</f>
        <v>4.4000000000000004</v>
      </c>
      <c r="N58" s="1">
        <f>VLOOKUP($A58,'EBA2017'!$A:$Z,18,FALSE)</f>
        <v>4.5000000000000009</v>
      </c>
      <c r="O58" s="1">
        <f>VLOOKUP($A58,'EBA2017'!$A:$Z,19,FALSE)</f>
        <v>3.5</v>
      </c>
      <c r="P58" s="32">
        <f>IF(M58="No Data","No Data",M58/(7-IF(M58&lt;7,VLOOKUP($A58,'Data Gaps'!$A:$N,6,FALSE),0)))</f>
        <v>0.62857142857142867</v>
      </c>
      <c r="Q58" s="1">
        <f>IF(N58="No Data","No Data",N58/(7-IF(N58&lt;7,VLOOKUP($A58,'Data Gaps'!$A:$N,7,FALSE),0)))</f>
        <v>0.64285714285714302</v>
      </c>
      <c r="R58" s="1">
        <f>IF(O58="No Data","No Data",O58/(7-IF(O58&lt;7,VLOOKUP($A58,'Data Gaps'!$A:$N,8,FALSE),0)))</f>
        <v>0.5</v>
      </c>
      <c r="S58" s="32">
        <f t="shared" si="3"/>
        <v>67.518890114813829</v>
      </c>
    </row>
    <row r="59" spans="1:19" x14ac:dyDescent="0.35">
      <c r="A59" s="1" t="s">
        <v>124</v>
      </c>
      <c r="B59" s="28" t="s">
        <v>125</v>
      </c>
      <c r="C59" s="1" t="s">
        <v>16</v>
      </c>
      <c r="D59" s="1" t="s">
        <v>17</v>
      </c>
      <c r="E59" s="29" t="s">
        <v>9</v>
      </c>
      <c r="F59" s="28" t="s">
        <v>160</v>
      </c>
      <c r="G59" s="28" t="str">
        <f>VLOOKUP($A59,'EBA2017'!$A:$G,7,FALSE)</f>
        <v>Two</v>
      </c>
      <c r="H59" s="32" t="str">
        <f>VLOOKUP($A59,'EBA2017'!$A:$T,20,FALSE)</f>
        <v>N/A</v>
      </c>
      <c r="I59" s="28">
        <f t="shared" si="1"/>
        <v>0</v>
      </c>
      <c r="J59" s="1" t="str">
        <f>VLOOKUP($A59,'EBA2017'!$A:$U,21,FALSE)</f>
        <v>N/A</v>
      </c>
      <c r="K59" s="28">
        <f t="shared" si="2"/>
        <v>0</v>
      </c>
      <c r="L59" s="1">
        <f t="shared" si="4"/>
        <v>0</v>
      </c>
      <c r="M59" s="32">
        <f>VLOOKUP($A59,'EBA2017'!$A:$Z,17,FALSE)</f>
        <v>0</v>
      </c>
      <c r="N59" s="1">
        <f>VLOOKUP($A59,'EBA2017'!$A:$Z,18,FALSE)</f>
        <v>3.5</v>
      </c>
      <c r="O59" s="1">
        <f>VLOOKUP($A59,'EBA2017'!$A:$Z,19,FALSE)</f>
        <v>3</v>
      </c>
      <c r="P59" s="32">
        <f>IF(M59="No Data","No Data",M59/(7-IF(M59&lt;7,VLOOKUP($A59,'Data Gaps'!$A:$N,6,FALSE),0)))</f>
        <v>0</v>
      </c>
      <c r="Q59" s="1">
        <f>IF(N59="No Data","No Data",N59/(7-IF(N59&lt;7,VLOOKUP($A59,'Data Gaps'!$A:$N,7,FALSE),0)))</f>
        <v>0.5</v>
      </c>
      <c r="R59" s="1">
        <f>IF(O59="No Data","No Data",O59/(7-IF(O59&lt;7,VLOOKUP($A59,'Data Gaps'!$A:$N,8,FALSE),0)))</f>
        <v>0.42857142857142855</v>
      </c>
      <c r="S59" s="32">
        <f t="shared" si="3"/>
        <v>23.214285714285715</v>
      </c>
    </row>
    <row r="60" spans="1:19" x14ac:dyDescent="0.35">
      <c r="A60" s="1" t="s">
        <v>130</v>
      </c>
      <c r="B60" s="28" t="s">
        <v>131</v>
      </c>
      <c r="C60" s="1" t="s">
        <v>32</v>
      </c>
      <c r="D60" s="1" t="s">
        <v>33</v>
      </c>
      <c r="E60" s="29" t="s">
        <v>25</v>
      </c>
      <c r="F60" s="28" t="s">
        <v>161</v>
      </c>
      <c r="G60" s="28" t="str">
        <f>VLOOKUP($A60,'EBA2017'!$A:$G,7,FALSE)</f>
        <v>Two</v>
      </c>
      <c r="H60" s="32">
        <f>VLOOKUP($A60,'EBA2017'!$A:$T,20,FALSE)</f>
        <v>100</v>
      </c>
      <c r="I60" s="28">
        <f t="shared" si="1"/>
        <v>0.90562036055143158</v>
      </c>
      <c r="J60" s="1">
        <f>VLOOKUP($A60,'EBA2017'!$A:$U,21,FALSE)</f>
        <v>2.0430151818817022</v>
      </c>
      <c r="K60" s="28">
        <f t="shared" si="2"/>
        <v>0.99758443959659726</v>
      </c>
      <c r="L60" s="1">
        <f t="shared" si="4"/>
        <v>0.95160240007401442</v>
      </c>
      <c r="M60" s="32">
        <f>VLOOKUP($A60,'EBA2017'!$A:$Z,17,FALSE)</f>
        <v>5.4000000000000012</v>
      </c>
      <c r="N60" s="1">
        <f>VLOOKUP($A60,'EBA2017'!$A:$Z,18,FALSE)</f>
        <v>4.5000000000000009</v>
      </c>
      <c r="O60" s="1">
        <f>VLOOKUP($A60,'EBA2017'!$A:$Z,19,FALSE)</f>
        <v>3.5</v>
      </c>
      <c r="P60" s="32">
        <f>IF(M60="No Data","No Data",M60/(7-IF(M60&lt;7,VLOOKUP($A60,'Data Gaps'!$A:$N,6,FALSE),0)))</f>
        <v>0.77142857142857157</v>
      </c>
      <c r="Q60" s="1">
        <f>IF(N60="No Data","No Data",N60/(7-IF(N60&lt;7,VLOOKUP($A60,'Data Gaps'!$A:$N,7,FALSE),0)))</f>
        <v>0.64285714285714302</v>
      </c>
      <c r="R60" s="1">
        <f>IF(O60="No Data","No Data",O60/(7-IF(O60&lt;7,VLOOKUP($A60,'Data Gaps'!$A:$N,8,FALSE),0)))</f>
        <v>0.5</v>
      </c>
      <c r="S60" s="32">
        <f t="shared" si="3"/>
        <v>71.647202858993225</v>
      </c>
    </row>
    <row r="61" spans="1:19" x14ac:dyDescent="0.35">
      <c r="A61" s="1" t="s">
        <v>128</v>
      </c>
      <c r="B61" s="28" t="s">
        <v>129</v>
      </c>
      <c r="C61" s="1" t="s">
        <v>16</v>
      </c>
      <c r="D61" s="1" t="s">
        <v>17</v>
      </c>
      <c r="E61" s="29" t="s">
        <v>18</v>
      </c>
      <c r="F61" s="28" t="s">
        <v>159</v>
      </c>
      <c r="G61" s="28" t="str">
        <f>VLOOKUP($A61,'EBA2017'!$A:$G,7,FALSE)</f>
        <v>Two</v>
      </c>
      <c r="H61" s="32">
        <f>VLOOKUP($A61,'EBA2017'!$A:$T,20,FALSE)</f>
        <v>578</v>
      </c>
      <c r="I61" s="28">
        <f t="shared" si="1"/>
        <v>0.39872746553552463</v>
      </c>
      <c r="J61" s="1">
        <f>VLOOKUP($A61,'EBA2017'!$A:$U,21,FALSE)</f>
        <v>983.14220634392962</v>
      </c>
      <c r="K61" s="28">
        <f t="shared" si="2"/>
        <v>0</v>
      </c>
      <c r="L61" s="1">
        <f t="shared" si="4"/>
        <v>0.19936373276776231</v>
      </c>
      <c r="M61" s="32">
        <f>VLOOKUP($A61,'EBA2017'!$A:$Z,17,FALSE)</f>
        <v>3.4</v>
      </c>
      <c r="N61" s="1">
        <f>VLOOKUP($A61,'EBA2017'!$A:$Z,18,FALSE)</f>
        <v>7</v>
      </c>
      <c r="O61" s="1">
        <f>VLOOKUP($A61,'EBA2017'!$A:$Z,19,FALSE)</f>
        <v>3</v>
      </c>
      <c r="P61" s="32">
        <f>IF(M61="No Data","No Data",M61/(7-IF(M61&lt;7,VLOOKUP($A61,'Data Gaps'!$A:$N,6,FALSE),0)))</f>
        <v>0.48571428571428571</v>
      </c>
      <c r="Q61" s="1">
        <f>IF(N61="No Data","No Data",N61/(7-IF(N61&lt;7,VLOOKUP($A61,'Data Gaps'!$A:$N,7,FALSE),0)))</f>
        <v>1</v>
      </c>
      <c r="R61" s="1">
        <f>IF(O61="No Data","No Data",O61/(7-IF(O61&lt;7,VLOOKUP($A61,'Data Gaps'!$A:$N,8,FALSE),0)))</f>
        <v>0.42857142857142855</v>
      </c>
      <c r="S61" s="32">
        <f t="shared" si="3"/>
        <v>52.841236176336913</v>
      </c>
    </row>
    <row r="62" spans="1:19" x14ac:dyDescent="0.35">
      <c r="A62" s="1" t="s">
        <v>134</v>
      </c>
      <c r="B62" s="28" t="s">
        <v>135</v>
      </c>
      <c r="C62" s="1" t="s">
        <v>16</v>
      </c>
      <c r="D62" s="1" t="s">
        <v>17</v>
      </c>
      <c r="E62" s="28" t="s">
        <v>18</v>
      </c>
      <c r="F62" s="28" t="s">
        <v>160</v>
      </c>
      <c r="G62" s="28" t="str">
        <f>VLOOKUP($A62,'EBA2017'!$A:$G,7,FALSE)</f>
        <v>Two</v>
      </c>
      <c r="H62" s="32">
        <f>VLOOKUP($A62,'EBA2017'!$A:$T,20,FALSE)</f>
        <v>663</v>
      </c>
      <c r="I62" s="28">
        <f t="shared" si="1"/>
        <v>0.30858960763520643</v>
      </c>
      <c r="J62" s="1">
        <f>VLOOKUP($A62,'EBA2017'!$A:$U,21,FALSE)</f>
        <v>215.29316667584428</v>
      </c>
      <c r="K62" s="28">
        <f t="shared" si="2"/>
        <v>0.74544797652147077</v>
      </c>
      <c r="L62" s="1">
        <f t="shared" si="4"/>
        <v>0.52701879207833857</v>
      </c>
      <c r="M62" s="32">
        <f>VLOOKUP($A62,'EBA2017'!$A:$Z,17,FALSE)</f>
        <v>3.4</v>
      </c>
      <c r="N62" s="1">
        <f>VLOOKUP($A62,'EBA2017'!$A:$Z,18,FALSE)</f>
        <v>4</v>
      </c>
      <c r="O62" s="1">
        <f>VLOOKUP($A62,'EBA2017'!$A:$Z,19,FALSE)</f>
        <v>2</v>
      </c>
      <c r="P62" s="32">
        <f>IF(M62="No Data","No Data",M62/(7-IF(M62&lt;7,VLOOKUP($A62,'Data Gaps'!$A:$N,6,FALSE),0)))</f>
        <v>0.48571428571428571</v>
      </c>
      <c r="Q62" s="1">
        <f>IF(N62="No Data","No Data",N62/(7-IF(N62&lt;7,VLOOKUP($A62,'Data Gaps'!$A:$N,7,FALSE),0)))</f>
        <v>0.5714285714285714</v>
      </c>
      <c r="R62" s="1">
        <f>IF(O62="No Data","No Data",O62/(7-IF(O62&lt;7,VLOOKUP($A62,'Data Gaps'!$A:$N,8,FALSE),0)))</f>
        <v>0.2857142857142857</v>
      </c>
      <c r="S62" s="32">
        <f t="shared" si="3"/>
        <v>46.746898373387033</v>
      </c>
    </row>
    <row r="63" spans="1:19" x14ac:dyDescent="0.35">
      <c r="A63" s="1" t="s">
        <v>138</v>
      </c>
      <c r="B63" s="28" t="s">
        <v>139</v>
      </c>
      <c r="C63" s="1" t="s">
        <v>21</v>
      </c>
      <c r="D63" s="1" t="s">
        <v>22</v>
      </c>
      <c r="E63" s="28" t="s">
        <v>40</v>
      </c>
      <c r="F63" s="28" t="s">
        <v>160</v>
      </c>
      <c r="G63" s="28" t="str">
        <f>VLOOKUP($A63,'EBA2017'!$A:$G,7,FALSE)</f>
        <v>Two</v>
      </c>
      <c r="H63" s="32">
        <f>VLOOKUP($A63,'EBA2017'!$A:$T,20,FALSE)</f>
        <v>11</v>
      </c>
      <c r="I63" s="28">
        <f t="shared" si="1"/>
        <v>1</v>
      </c>
      <c r="J63" s="1">
        <f>VLOOKUP($A63,'EBA2017'!$A:$U,21,FALSE)</f>
        <v>12.632110608757793</v>
      </c>
      <c r="K63" s="28">
        <f t="shared" si="2"/>
        <v>0.98506441534623645</v>
      </c>
      <c r="L63" s="1">
        <f t="shared" si="4"/>
        <v>0.99253220767311823</v>
      </c>
      <c r="M63" s="32">
        <f>VLOOKUP($A63,'EBA2017'!$A:$Z,17,FALSE)</f>
        <v>4</v>
      </c>
      <c r="N63" s="1">
        <f>VLOOKUP($A63,'EBA2017'!$A:$Z,18,FALSE)</f>
        <v>4.5000000000000009</v>
      </c>
      <c r="O63" s="1">
        <f>VLOOKUP($A63,'EBA2017'!$A:$Z,19,FALSE)</f>
        <v>3</v>
      </c>
      <c r="P63" s="32">
        <f>IF(M63="No Data","No Data",M63/(7-IF(M63&lt;7,VLOOKUP($A63,'Data Gaps'!$A:$N,6,FALSE),0)))</f>
        <v>0.5714285714285714</v>
      </c>
      <c r="Q63" s="1">
        <f>IF(N63="No Data","No Data",N63/(7-IF(N63&lt;7,VLOOKUP($A63,'Data Gaps'!$A:$N,7,FALSE),0)))</f>
        <v>0.64285714285714302</v>
      </c>
      <c r="R63" s="1">
        <f>IF(O63="No Data","No Data",O63/(7-IF(O63&lt;7,VLOOKUP($A63,'Data Gaps'!$A:$N,8,FALSE),0)))</f>
        <v>0.42857142857142855</v>
      </c>
      <c r="S63" s="32">
        <f t="shared" si="3"/>
        <v>65.884733763256534</v>
      </c>
    </row>
    <row r="64" spans="1:19" x14ac:dyDescent="0.35">
      <c r="A64" s="1" t="s">
        <v>140</v>
      </c>
      <c r="B64" s="28" t="s">
        <v>141</v>
      </c>
      <c r="C64" s="1" t="s">
        <v>32</v>
      </c>
      <c r="D64" s="1" t="s">
        <v>33</v>
      </c>
      <c r="E64" s="28" t="s">
        <v>9</v>
      </c>
      <c r="F64" s="28" t="s">
        <v>162</v>
      </c>
      <c r="G64" s="28" t="str">
        <f>VLOOKUP($A64,'EBA2017'!$A:$G,7,FALSE)</f>
        <v>Two</v>
      </c>
      <c r="H64" s="32">
        <f>VLOOKUP($A64,'EBA2017'!$A:$T,20,FALSE)</f>
        <v>15</v>
      </c>
      <c r="I64" s="28">
        <f t="shared" si="1"/>
        <v>0.99575821845174972</v>
      </c>
      <c r="J64" s="1">
        <f>VLOOKUP($A64,'EBA2017'!$A:$U,21,FALSE)</f>
        <v>5.1767676767676765</v>
      </c>
      <c r="K64" s="28">
        <f t="shared" si="2"/>
        <v>0.99387924518206594</v>
      </c>
      <c r="L64" s="1">
        <f t="shared" si="4"/>
        <v>0.99481873181690783</v>
      </c>
      <c r="M64" s="32">
        <f>VLOOKUP($A64,'EBA2017'!$A:$Z,17,FALSE)</f>
        <v>6</v>
      </c>
      <c r="N64" s="1">
        <f>VLOOKUP($A64,'EBA2017'!$A:$Z,18,FALSE)</f>
        <v>5</v>
      </c>
      <c r="O64" s="1">
        <f>VLOOKUP($A64,'EBA2017'!$A:$Z,19,FALSE)</f>
        <v>3</v>
      </c>
      <c r="P64" s="32">
        <f>IF(M64="No Data","No Data",M64/(7-IF(M64&lt;7,VLOOKUP($A64,'Data Gaps'!$A:$N,6,FALSE),0)))</f>
        <v>0.8571428571428571</v>
      </c>
      <c r="Q64" s="1">
        <f>IF(N64="No Data","No Data",N64/(7-IF(N64&lt;7,VLOOKUP($A64,'Data Gaps'!$A:$N,7,FALSE),0)))</f>
        <v>0.7142857142857143</v>
      </c>
      <c r="R64" s="1">
        <f>IF(O64="No Data","No Data",O64/(7-IF(O64&lt;7,VLOOKUP($A64,'Data Gaps'!$A:$N,8,FALSE),0)))</f>
        <v>0.42857142857142855</v>
      </c>
      <c r="S64" s="32">
        <f t="shared" si="3"/>
        <v>74.870468295422683</v>
      </c>
    </row>
    <row r="65" spans="1:19" x14ac:dyDescent="0.35">
      <c r="A65" s="1" t="s">
        <v>142</v>
      </c>
      <c r="B65" s="28" t="s">
        <v>143</v>
      </c>
      <c r="C65" s="1" t="s">
        <v>16</v>
      </c>
      <c r="D65" s="1" t="s">
        <v>17</v>
      </c>
      <c r="E65" s="28" t="s">
        <v>9</v>
      </c>
      <c r="F65" s="28" t="s">
        <v>162</v>
      </c>
      <c r="G65" s="28" t="str">
        <f>VLOOKUP($A65,'EBA2017'!$A:$G,7,FALSE)</f>
        <v>Two</v>
      </c>
      <c r="H65" s="32">
        <f>VLOOKUP($A65,'EBA2017'!$A:$T,20,FALSE)</f>
        <v>210</v>
      </c>
      <c r="I65" s="28">
        <f t="shared" si="1"/>
        <v>0.78897136797454925</v>
      </c>
      <c r="J65" s="1">
        <f>VLOOKUP($A65,'EBA2017'!$A:$U,21,FALSE)</f>
        <v>226.58879292341911</v>
      </c>
      <c r="K65" s="28">
        <f t="shared" si="2"/>
        <v>0.73209258507002462</v>
      </c>
      <c r="L65" s="1">
        <f t="shared" si="4"/>
        <v>0.76053197652228688</v>
      </c>
      <c r="M65" s="32">
        <f>VLOOKUP($A65,'EBA2017'!$A:$Z,17,FALSE)</f>
        <v>2.8999999999999995</v>
      </c>
      <c r="N65" s="1">
        <f>VLOOKUP($A65,'EBA2017'!$A:$Z,18,FALSE)</f>
        <v>3.5</v>
      </c>
      <c r="O65" s="1">
        <f>VLOOKUP($A65,'EBA2017'!$A:$Z,19,FALSE)</f>
        <v>2.5000000000000004</v>
      </c>
      <c r="P65" s="32">
        <f>IF(M65="No Data","No Data",M65/(7-IF(M65&lt;7,VLOOKUP($A65,'Data Gaps'!$A:$N,6,FALSE),0)))</f>
        <v>0.4142857142857142</v>
      </c>
      <c r="Q65" s="1">
        <f>IF(N65="No Data","No Data",N65/(7-IF(N65&lt;7,VLOOKUP($A65,'Data Gaps'!$A:$N,7,FALSE),0)))</f>
        <v>0.5</v>
      </c>
      <c r="R65" s="1">
        <f>IF(O65="No Data","No Data",O65/(7-IF(O65&lt;7,VLOOKUP($A65,'Data Gaps'!$A:$N,8,FALSE),0)))</f>
        <v>0.41666666666666674</v>
      </c>
      <c r="S65" s="32">
        <f t="shared" si="3"/>
        <v>52.287108936866701</v>
      </c>
    </row>
    <row r="66" spans="1:19" x14ac:dyDescent="0.35">
      <c r="A66" s="1" t="s">
        <v>144</v>
      </c>
      <c r="B66" s="28" t="s">
        <v>145</v>
      </c>
      <c r="C66" s="1" t="s">
        <v>16</v>
      </c>
      <c r="D66" s="1" t="s">
        <v>17</v>
      </c>
      <c r="E66" s="28" t="s">
        <v>18</v>
      </c>
      <c r="F66" s="28" t="s">
        <v>160</v>
      </c>
      <c r="G66" s="28" t="str">
        <f>VLOOKUP($A66,'EBA2017'!$A:$G,7,FALSE)</f>
        <v>Two</v>
      </c>
      <c r="H66" s="32">
        <f>VLOOKUP($A66,'EBA2017'!$A:$T,20,FALSE)</f>
        <v>15</v>
      </c>
      <c r="I66" s="28">
        <f t="shared" si="1"/>
        <v>0.99575821845174972</v>
      </c>
      <c r="J66" s="1">
        <f>VLOOKUP($A66,'EBA2017'!$A:$U,21,FALSE)</f>
        <v>15.882352941176469</v>
      </c>
      <c r="K66" s="28">
        <f t="shared" si="2"/>
        <v>0.98122148909229523</v>
      </c>
      <c r="L66" s="1">
        <f t="shared" si="4"/>
        <v>0.98848985377202248</v>
      </c>
      <c r="M66" s="32">
        <f>VLOOKUP($A66,'EBA2017'!$A:$Z,17,FALSE)</f>
        <v>4.4000000000000004</v>
      </c>
      <c r="N66" s="1">
        <f>VLOOKUP($A66,'EBA2017'!$A:$Z,18,FALSE)</f>
        <v>3</v>
      </c>
      <c r="O66" s="1">
        <f>VLOOKUP($A66,'EBA2017'!$A:$Z,19,FALSE)</f>
        <v>3</v>
      </c>
      <c r="P66" s="32">
        <f>IF(M66="No Data","No Data",M66/(7-IF(M66&lt;7,VLOOKUP($A66,'Data Gaps'!$A:$N,6,FALSE),0)))</f>
        <v>0.62857142857142867</v>
      </c>
      <c r="Q66" s="1">
        <f>IF(N66="No Data","No Data",N66/(7-IF(N66&lt;7,VLOOKUP($A66,'Data Gaps'!$A:$N,7,FALSE),0)))</f>
        <v>0.42857142857142855</v>
      </c>
      <c r="R66" s="1">
        <f>IF(O66="No Data","No Data",O66/(7-IF(O66&lt;7,VLOOKUP($A66,'Data Gaps'!$A:$N,8,FALSE),0)))</f>
        <v>0.42857142857142855</v>
      </c>
      <c r="S66" s="32">
        <f t="shared" si="3"/>
        <v>61.855103487157706</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workbookViewId="0">
      <pane xSplit="1" ySplit="4" topLeftCell="B5" activePane="bottomRight" state="frozen"/>
      <selection pane="topRight" activeCell="B1" sqref="B1"/>
      <selection pane="bottomLeft" activeCell="A5" sqref="A5"/>
      <selection pane="bottomRight" activeCell="J8" sqref="J8"/>
    </sheetView>
  </sheetViews>
  <sheetFormatPr defaultRowHeight="14.5" x14ac:dyDescent="0.35"/>
  <cols>
    <col min="1" max="1" width="29.453125" customWidth="1"/>
    <col min="5" max="5" width="15.7265625" bestFit="1" customWidth="1"/>
    <col min="6" max="7" width="15.7265625" customWidth="1"/>
    <col min="8" max="8" width="10.7265625" style="33" customWidth="1"/>
    <col min="9" max="9" width="10.1796875" customWidth="1"/>
    <col min="10" max="11" width="10.7265625" customWidth="1"/>
    <col min="13" max="13" width="8.7265625" style="33"/>
    <col min="16" max="16" width="8.7265625" style="33"/>
    <col min="19" max="20" width="8.7265625" style="33"/>
  </cols>
  <sheetData>
    <row r="1" spans="1:20" x14ac:dyDescent="0.35">
      <c r="A1" s="1">
        <f>COLUMN()</f>
        <v>1</v>
      </c>
      <c r="B1" s="1">
        <f>COLUMN()</f>
        <v>2</v>
      </c>
      <c r="C1" s="1">
        <f>COLUMN()</f>
        <v>3</v>
      </c>
      <c r="D1" s="1">
        <f>COLUMN()</f>
        <v>4</v>
      </c>
      <c r="E1" s="1">
        <f>COLUMN()</f>
        <v>5</v>
      </c>
      <c r="F1" s="1">
        <f>COLUMN()</f>
        <v>6</v>
      </c>
      <c r="G1" s="1">
        <f>COLUMN()</f>
        <v>7</v>
      </c>
      <c r="H1" s="32">
        <f>COLUMN()</f>
        <v>8</v>
      </c>
      <c r="I1" s="1">
        <f>COLUMN()</f>
        <v>9</v>
      </c>
      <c r="J1" s="1">
        <f>COLUMN()</f>
        <v>10</v>
      </c>
      <c r="K1" s="1">
        <f>COLUMN()</f>
        <v>11</v>
      </c>
      <c r="L1" s="1">
        <f>COLUMN()</f>
        <v>12</v>
      </c>
      <c r="M1" s="32">
        <f>COLUMN()</f>
        <v>13</v>
      </c>
      <c r="N1" s="1">
        <f>COLUMN()</f>
        <v>14</v>
      </c>
      <c r="O1" s="1">
        <f>COLUMN()</f>
        <v>15</v>
      </c>
      <c r="P1" s="32">
        <f>COLUMN()</f>
        <v>16</v>
      </c>
      <c r="Q1" s="1">
        <f>COLUMN()</f>
        <v>17</v>
      </c>
      <c r="R1" s="1">
        <f>COLUMN()</f>
        <v>18</v>
      </c>
      <c r="S1" s="32">
        <f>COLUMN()</f>
        <v>19</v>
      </c>
      <c r="T1" s="32"/>
    </row>
    <row r="2" spans="1:20" x14ac:dyDescent="0.35">
      <c r="A2" s="1" t="s">
        <v>235</v>
      </c>
      <c r="B2" s="1"/>
      <c r="C2" s="1"/>
      <c r="D2" s="1"/>
      <c r="E2" s="1"/>
      <c r="F2" s="1"/>
      <c r="G2" s="1"/>
      <c r="H2" s="32">
        <f>PERCENTILE(H5:H66,0.95)</f>
        <v>953.99999999999955</v>
      </c>
      <c r="I2" s="1"/>
      <c r="J2" s="1">
        <f>PERCENTILE(J5:J66,0.95)</f>
        <v>845.7727569154589</v>
      </c>
      <c r="K2" s="1"/>
    </row>
    <row r="3" spans="1:20" x14ac:dyDescent="0.35">
      <c r="A3" s="1" t="s">
        <v>236</v>
      </c>
      <c r="B3" s="1"/>
      <c r="C3" s="1"/>
      <c r="D3" s="1"/>
      <c r="E3" s="1"/>
      <c r="F3" s="1"/>
      <c r="G3" s="1"/>
      <c r="H3" s="32">
        <f>MIN(H5:H66)</f>
        <v>11</v>
      </c>
      <c r="I3" s="1"/>
      <c r="J3" s="1">
        <f>MIN(J5:J66)</f>
        <v>0</v>
      </c>
      <c r="K3" s="1"/>
    </row>
    <row r="4" spans="1:20" ht="73.5" x14ac:dyDescent="0.35">
      <c r="A4" s="25" t="s">
        <v>0</v>
      </c>
      <c r="B4" s="25" t="s">
        <v>1</v>
      </c>
      <c r="C4" s="25" t="s">
        <v>2</v>
      </c>
      <c r="D4" s="25" t="s">
        <v>3</v>
      </c>
      <c r="E4" s="25" t="s">
        <v>4</v>
      </c>
      <c r="F4" s="25" t="s">
        <v>156</v>
      </c>
      <c r="G4" s="25" t="s">
        <v>157</v>
      </c>
      <c r="H4" s="36" t="s">
        <v>237</v>
      </c>
      <c r="I4" s="27" t="s">
        <v>230</v>
      </c>
      <c r="J4" s="26" t="s">
        <v>238</v>
      </c>
      <c r="K4" s="27" t="s">
        <v>232</v>
      </c>
      <c r="L4" s="27" t="s">
        <v>243</v>
      </c>
      <c r="M4" s="34" t="s">
        <v>251</v>
      </c>
      <c r="N4" s="7" t="s">
        <v>252</v>
      </c>
      <c r="O4" s="35" t="s">
        <v>253</v>
      </c>
      <c r="P4" s="34" t="s">
        <v>254</v>
      </c>
      <c r="Q4" s="7" t="s">
        <v>255</v>
      </c>
      <c r="R4" s="35" t="s">
        <v>256</v>
      </c>
      <c r="S4" s="37" t="s">
        <v>244</v>
      </c>
    </row>
    <row r="5" spans="1:20" x14ac:dyDescent="0.35">
      <c r="A5" s="1" t="s">
        <v>5</v>
      </c>
      <c r="B5" s="28" t="s">
        <v>6</v>
      </c>
      <c r="C5" s="1" t="s">
        <v>7</v>
      </c>
      <c r="D5" s="1" t="s">
        <v>8</v>
      </c>
      <c r="E5" s="28" t="s">
        <v>9</v>
      </c>
      <c r="F5" s="28" t="s">
        <v>159</v>
      </c>
      <c r="G5" s="28" t="str">
        <f>VLOOKUP($A5,'EBA2017'!$A:$G,7,FALSE)</f>
        <v>One</v>
      </c>
      <c r="H5" s="32" t="str">
        <f>VLOOKUP($A5,Calculator!$A:$T,20,FALSE)</f>
        <v>N/A</v>
      </c>
      <c r="I5" s="28">
        <f>IF(H5="No data","No data",IF(OR(H5="No practice",H5="N/A",H5&gt;$H$2),0,($H$2-H5)/($H$2-$H$3)))</f>
        <v>0</v>
      </c>
      <c r="J5" s="1" t="str">
        <f>VLOOKUP($A5,Calculator!$A:$U,21,FALSE)</f>
        <v>N/A</v>
      </c>
      <c r="K5" s="28">
        <f>IF(J5="No data","No data",IF(OR(J5="No practice",J5="N/A",J5&gt;$J$2),0,($J$2-J5)/($J$2-$J$3)))</f>
        <v>0</v>
      </c>
      <c r="L5" s="1">
        <f t="shared" ref="L5:L36" si="0">AVERAGE(I5,K5)</f>
        <v>0</v>
      </c>
      <c r="M5" s="32">
        <f>VLOOKUP($A5,Calculator!$A:$Z,17,FALSE)</f>
        <v>0</v>
      </c>
      <c r="N5" s="1">
        <f>VLOOKUP($A5,Calculator!$A:$Z,18,FALSE)</f>
        <v>2</v>
      </c>
      <c r="O5" s="1">
        <f>VLOOKUP($A5,Calculator!$A:$Z,19,FALSE)</f>
        <v>6</v>
      </c>
      <c r="P5" s="32">
        <f>IF(M5="No Data","No Data",M5/(7-IF(M5&lt;7,VLOOKUP($A5,'Data Gaps'!$A:$N,6,FALSE),0)))</f>
        <v>0</v>
      </c>
      <c r="Q5" s="1">
        <f>IF(N5="No Data","No Data",N5/(7-IF(N5&lt;7,VLOOKUP($A5,'Data Gaps'!$A:$N,7,FALSE),0)))</f>
        <v>0.2857142857142857</v>
      </c>
      <c r="R5" s="1">
        <f>IF(O5="No Data","No Data",O5/(7-IF(O5&lt;7,VLOOKUP($A5,'Data Gaps'!$A:$N,8,FALSE),0)))</f>
        <v>0.8571428571428571</v>
      </c>
      <c r="S5" s="32">
        <f>100*AVERAGE(L5,P5,Q5,R5)</f>
        <v>28.571428571428569</v>
      </c>
    </row>
    <row r="6" spans="1:20" x14ac:dyDescent="0.35">
      <c r="A6" s="1" t="s">
        <v>23</v>
      </c>
      <c r="B6" s="28" t="s">
        <v>24</v>
      </c>
      <c r="C6" s="1" t="s">
        <v>7</v>
      </c>
      <c r="D6" s="1" t="s">
        <v>8</v>
      </c>
      <c r="E6" s="29" t="s">
        <v>25</v>
      </c>
      <c r="F6" s="28" t="s">
        <v>161</v>
      </c>
      <c r="G6" s="28" t="str">
        <f>VLOOKUP($A6,'EBA2017'!$A:$G,7,FALSE)</f>
        <v>One</v>
      </c>
      <c r="H6" s="32">
        <f>VLOOKUP($A6,Calculator!$A:$T,20,FALSE)</f>
        <v>31</v>
      </c>
      <c r="I6" s="28">
        <f t="shared" ref="I6:I66" si="1">IF(H6="No data","No data",IF(OR(H6="No practice",H6="N/A",H6&gt;$H$2),0,($H$2-H6)/($H$2-$H$3)))</f>
        <v>0.97879109225874872</v>
      </c>
      <c r="J6" s="1">
        <f>VLOOKUP($A6,Calculator!$A:$U,21,FALSE)</f>
        <v>0.467995248171379</v>
      </c>
      <c r="K6" s="28">
        <f t="shared" ref="K6:K66" si="2">IF(J6="No data","No data",IF(OR(J6="No practice",J6="N/A",J6&gt;$J$2),0,($J$2-J6)/($J$2-$J$3)))</f>
        <v>0.99944666549691408</v>
      </c>
      <c r="L6" s="1">
        <f t="shared" si="0"/>
        <v>0.98911887887783134</v>
      </c>
      <c r="M6" s="32">
        <f>VLOOKUP($A6,Calculator!$A:$Z,17,FALSE)</f>
        <v>6</v>
      </c>
      <c r="N6" s="1">
        <f>VLOOKUP($A6,Calculator!$A:$Z,18,FALSE)</f>
        <v>7</v>
      </c>
      <c r="O6" s="1">
        <f>VLOOKUP($A6,Calculator!$A:$Z,19,FALSE)</f>
        <v>7</v>
      </c>
      <c r="P6" s="32">
        <f>IF(M6="No Data","No Data",M6/(7-IF(M6&lt;7,VLOOKUP($A6,'Data Gaps'!$A:$N,6,FALSE),0)))</f>
        <v>0.8571428571428571</v>
      </c>
      <c r="Q6" s="1">
        <f>IF(N6="No Data","No Data",N6/(7-IF(N6&lt;7,VLOOKUP($A6,'Data Gaps'!$A:$N,7,FALSE),0)))</f>
        <v>1</v>
      </c>
      <c r="R6" s="1">
        <f>IF(O6="No Data","No Data",O6/(7-IF(O6&lt;7,VLOOKUP($A6,'Data Gaps'!$A:$N,8,FALSE),0)))</f>
        <v>1</v>
      </c>
      <c r="S6" s="32">
        <f t="shared" ref="S6:S66" si="3">100*AVERAGE(L6,P6,Q6,R6)</f>
        <v>96.156543400517208</v>
      </c>
    </row>
    <row r="7" spans="1:20" x14ac:dyDescent="0.35">
      <c r="A7" s="1" t="s">
        <v>36</v>
      </c>
      <c r="B7" s="28" t="s">
        <v>37</v>
      </c>
      <c r="C7" s="1" t="s">
        <v>38</v>
      </c>
      <c r="D7" s="1" t="s">
        <v>39</v>
      </c>
      <c r="E7" s="29" t="s">
        <v>40</v>
      </c>
      <c r="F7" s="28" t="s">
        <v>159</v>
      </c>
      <c r="G7" s="28" t="str">
        <f>VLOOKUP($A7,'EBA2017'!$A:$G,7,FALSE)</f>
        <v>One</v>
      </c>
      <c r="H7" s="32" t="str">
        <f>VLOOKUP($A7,Calculator!$A:$T,20,FALSE)</f>
        <v>N/A</v>
      </c>
      <c r="I7" s="28">
        <f t="shared" si="1"/>
        <v>0</v>
      </c>
      <c r="J7" s="1" t="str">
        <f>VLOOKUP($A7,Calculator!$A:$U,21,FALSE)</f>
        <v>N/A</v>
      </c>
      <c r="K7" s="28">
        <f t="shared" si="2"/>
        <v>0</v>
      </c>
      <c r="L7" s="1">
        <f t="shared" si="0"/>
        <v>0</v>
      </c>
      <c r="M7" s="32">
        <f>VLOOKUP($A7,Calculator!$A:$Z,17,FALSE)</f>
        <v>0</v>
      </c>
      <c r="N7" s="1">
        <f>VLOOKUP($A7,Calculator!$A:$Z,18,FALSE)</f>
        <v>3.5</v>
      </c>
      <c r="O7" s="1">
        <f>VLOOKUP($A7,Calculator!$A:$Z,19,FALSE)</f>
        <v>4</v>
      </c>
      <c r="P7" s="32">
        <f>IF(M7="No Data","No Data",M7/(7-IF(M7&lt;7,VLOOKUP($A7,'Data Gaps'!$A:$N,6,FALSE),0)))</f>
        <v>0</v>
      </c>
      <c r="Q7" s="1">
        <f>IF(N7="No Data","No Data",N7/(7-IF(N7&lt;7,VLOOKUP($A7,'Data Gaps'!$A:$N,7,FALSE),0)))</f>
        <v>0.5</v>
      </c>
      <c r="R7" s="1">
        <f>IF(O7="No Data","No Data",O7/(7-IF(O7&lt;7,VLOOKUP($A7,'Data Gaps'!$A:$N,8,FALSE),0)))</f>
        <v>0.5714285714285714</v>
      </c>
      <c r="S7" s="32">
        <f t="shared" si="3"/>
        <v>26.785714285714285</v>
      </c>
    </row>
    <row r="8" spans="1:20" x14ac:dyDescent="0.35">
      <c r="A8" s="1" t="s">
        <v>45</v>
      </c>
      <c r="B8" s="28" t="s">
        <v>46</v>
      </c>
      <c r="C8" s="1" t="s">
        <v>38</v>
      </c>
      <c r="D8" s="1" t="s">
        <v>39</v>
      </c>
      <c r="E8" s="29" t="s">
        <v>40</v>
      </c>
      <c r="F8" s="28" t="s">
        <v>162</v>
      </c>
      <c r="G8" s="28" t="str">
        <f>VLOOKUP($A8,'EBA2017'!$A:$G,7,FALSE)</f>
        <v>One</v>
      </c>
      <c r="H8" s="32">
        <f>VLOOKUP($A8,Calculator!$A:$T,20,FALSE)</f>
        <v>31</v>
      </c>
      <c r="I8" s="28">
        <f t="shared" si="1"/>
        <v>0.97879109225874872</v>
      </c>
      <c r="J8" s="1">
        <f>VLOOKUP($A8,Calculator!$A:$U,21,FALSE)</f>
        <v>0.4263386760504525</v>
      </c>
      <c r="K8" s="28">
        <f t="shared" si="2"/>
        <v>0.9994959181735702</v>
      </c>
      <c r="L8" s="1">
        <f t="shared" si="0"/>
        <v>0.98914350521615946</v>
      </c>
      <c r="M8" s="32">
        <f>VLOOKUP($A8,Calculator!$A:$Z,17,FALSE)</f>
        <v>6.4</v>
      </c>
      <c r="N8" s="1">
        <f>VLOOKUP($A8,Calculator!$A:$Z,18,FALSE)</f>
        <v>6.5</v>
      </c>
      <c r="O8" s="1">
        <f>VLOOKUP($A8,Calculator!$A:$Z,19,FALSE)</f>
        <v>6</v>
      </c>
      <c r="P8" s="32">
        <f>IF(M8="No Data","No Data",M8/(7-IF(M8&lt;7,VLOOKUP($A8,'Data Gaps'!$A:$N,6,FALSE),0)))</f>
        <v>0.91428571428571437</v>
      </c>
      <c r="Q8" s="1">
        <f>IF(N8="No Data","No Data",N8/(7-IF(N8&lt;7,VLOOKUP($A8,'Data Gaps'!$A:$N,7,FALSE),0)))</f>
        <v>0.9285714285714286</v>
      </c>
      <c r="R8" s="1">
        <f>IF(O8="No Data","No Data",O8/(7-IF(O8&lt;7,VLOOKUP($A8,'Data Gaps'!$A:$N,8,FALSE),0)))</f>
        <v>0.8571428571428571</v>
      </c>
      <c r="S8" s="32">
        <f t="shared" si="3"/>
        <v>92.228587630403993</v>
      </c>
    </row>
    <row r="9" spans="1:20" x14ac:dyDescent="0.35">
      <c r="A9" s="1" t="s">
        <v>120</v>
      </c>
      <c r="B9" s="28" t="s">
        <v>121</v>
      </c>
      <c r="C9" s="1" t="s">
        <v>38</v>
      </c>
      <c r="D9" s="1" t="s">
        <v>39</v>
      </c>
      <c r="E9" s="29" t="s">
        <v>40</v>
      </c>
      <c r="F9" s="28" t="s">
        <v>159</v>
      </c>
      <c r="G9" s="28" t="str">
        <f>VLOOKUP($A9,'EBA2017'!$A:$G,7,FALSE)</f>
        <v>One</v>
      </c>
      <c r="H9" s="32">
        <f>VLOOKUP($A9,Calculator!$A:$T,20,FALSE)</f>
        <v>90</v>
      </c>
      <c r="I9" s="28">
        <f t="shared" si="1"/>
        <v>0.91622481442205728</v>
      </c>
      <c r="J9" s="1">
        <f>VLOOKUP($A9,Calculator!$A:$U,21,FALSE)</f>
        <v>0</v>
      </c>
      <c r="K9" s="28">
        <f t="shared" si="2"/>
        <v>1</v>
      </c>
      <c r="L9" s="1">
        <f t="shared" si="0"/>
        <v>0.95811240721102864</v>
      </c>
      <c r="M9" s="32">
        <f>VLOOKUP($A9,Calculator!$A:$Z,17,FALSE)</f>
        <v>5.7999999999999989</v>
      </c>
      <c r="N9" s="1">
        <f>VLOOKUP($A9,Calculator!$A:$Z,18,FALSE)</f>
        <v>7</v>
      </c>
      <c r="O9" s="1">
        <f>VLOOKUP($A9,Calculator!$A:$Z,19,FALSE)</f>
        <v>6</v>
      </c>
      <c r="P9" s="32">
        <f>IF(M9="No Data","No Data",M9/(7-IF(M9&lt;7,VLOOKUP($A9,'Data Gaps'!$A:$N,6,FALSE),0)))</f>
        <v>0.8285714285714284</v>
      </c>
      <c r="Q9" s="1">
        <f>IF(N9="No Data","No Data",N9/(7-IF(N9&lt;7,VLOOKUP($A9,'Data Gaps'!$A:$N,7,FALSE),0)))</f>
        <v>1</v>
      </c>
      <c r="R9" s="1">
        <f>IF(O9="No Data","No Data",O9/(7-IF(O9&lt;7,VLOOKUP($A9,'Data Gaps'!$A:$N,8,FALSE),0)))</f>
        <v>0.8571428571428571</v>
      </c>
      <c r="S9" s="32">
        <f t="shared" si="3"/>
        <v>91.095667323132858</v>
      </c>
    </row>
    <row r="10" spans="1:20" x14ac:dyDescent="0.35">
      <c r="A10" s="1" t="s">
        <v>53</v>
      </c>
      <c r="B10" s="28" t="s">
        <v>54</v>
      </c>
      <c r="C10" s="1" t="s">
        <v>7</v>
      </c>
      <c r="D10" s="1" t="s">
        <v>8</v>
      </c>
      <c r="E10" s="29" t="s">
        <v>25</v>
      </c>
      <c r="F10" s="28" t="s">
        <v>162</v>
      </c>
      <c r="G10" s="28" t="str">
        <f>VLOOKUP($A10,'EBA2017'!$A:$G,7,FALSE)</f>
        <v>One</v>
      </c>
      <c r="H10" s="32">
        <f>VLOOKUP($A10,Calculator!$A:$T,20,FALSE)</f>
        <v>730</v>
      </c>
      <c r="I10" s="28">
        <f t="shared" si="1"/>
        <v>0.23753976670201449</v>
      </c>
      <c r="J10" s="1">
        <f>VLOOKUP($A10,Calculator!$A:$U,21,FALSE)</f>
        <v>16.707331007033982</v>
      </c>
      <c r="K10" s="28">
        <f t="shared" si="2"/>
        <v>0.98024607570954903</v>
      </c>
      <c r="L10" s="1">
        <f t="shared" si="0"/>
        <v>0.60889292120578176</v>
      </c>
      <c r="M10" s="32">
        <f>VLOOKUP($A10,Calculator!$A:$Z,17,FALSE)</f>
        <v>4.4000000000000004</v>
      </c>
      <c r="N10" s="1">
        <f>VLOOKUP($A10,Calculator!$A:$Z,18,FALSE)</f>
        <v>4.5000000000000009</v>
      </c>
      <c r="O10" s="1">
        <f>VLOOKUP($A10,Calculator!$A:$Z,19,FALSE)</f>
        <v>6</v>
      </c>
      <c r="P10" s="32">
        <f>IF(M10="No Data","No Data",M10/(7-IF(M10&lt;7,VLOOKUP($A10,'Data Gaps'!$A:$N,6,FALSE),0)))</f>
        <v>0.62857142857142867</v>
      </c>
      <c r="Q10" s="1">
        <f>IF(N10="No Data","No Data",N10/(7-IF(N10&lt;7,VLOOKUP($A10,'Data Gaps'!$A:$N,7,FALSE),0)))</f>
        <v>0.64285714285714302</v>
      </c>
      <c r="R10" s="1">
        <f>IF(O10="No Data","No Data",O10/(7-IF(O10&lt;7,VLOOKUP($A10,'Data Gaps'!$A:$N,8,FALSE),0)))</f>
        <v>0.8571428571428571</v>
      </c>
      <c r="S10" s="32">
        <f t="shared" si="3"/>
        <v>68.436608744430259</v>
      </c>
    </row>
    <row r="11" spans="1:20" x14ac:dyDescent="0.35">
      <c r="A11" s="1" t="s">
        <v>57</v>
      </c>
      <c r="B11" s="28" t="s">
        <v>58</v>
      </c>
      <c r="C11" s="1" t="s">
        <v>38</v>
      </c>
      <c r="D11" s="1" t="s">
        <v>39</v>
      </c>
      <c r="E11" s="29" t="s">
        <v>40</v>
      </c>
      <c r="F11" s="28" t="s">
        <v>159</v>
      </c>
      <c r="G11" s="28" t="str">
        <f>VLOOKUP($A11,'EBA2017'!$A:$G,7,FALSE)</f>
        <v>One</v>
      </c>
      <c r="H11" s="32">
        <f>VLOOKUP($A11,Calculator!$A:$T,20,FALSE)</f>
        <v>186</v>
      </c>
      <c r="I11" s="28">
        <f t="shared" si="1"/>
        <v>0.81442205726405081</v>
      </c>
      <c r="J11" s="1">
        <f>VLOOKUP($A11,Calculator!$A:$U,21,FALSE)</f>
        <v>2.4495079129884862</v>
      </c>
      <c r="K11" s="28">
        <f t="shared" si="2"/>
        <v>0.99710382263680164</v>
      </c>
      <c r="L11" s="1">
        <f t="shared" si="0"/>
        <v>0.90576293995042623</v>
      </c>
      <c r="M11" s="32">
        <f>VLOOKUP($A11,Calculator!$A:$Z,17,FALSE)</f>
        <v>7</v>
      </c>
      <c r="N11" s="1">
        <f>VLOOKUP($A11,Calculator!$A:$Z,18,FALSE)</f>
        <v>6.5</v>
      </c>
      <c r="O11" s="1">
        <f>VLOOKUP($A11,Calculator!$A:$Z,19,FALSE)</f>
        <v>3</v>
      </c>
      <c r="P11" s="32">
        <f>IF(M11="No Data","No Data",M11/(7-IF(M11&lt;7,VLOOKUP($A11,'Data Gaps'!$A:$N,6,FALSE),0)))</f>
        <v>1</v>
      </c>
      <c r="Q11" s="1">
        <f>IF(N11="No Data","No Data",N11/(7-IF(N11&lt;7,VLOOKUP($A11,'Data Gaps'!$A:$N,7,FALSE),0)))</f>
        <v>0.9285714285714286</v>
      </c>
      <c r="R11" s="1">
        <f>IF(O11="No Data","No Data",O11/(7-IF(O11&lt;7,VLOOKUP($A11,'Data Gaps'!$A:$N,8,FALSE),0)))</f>
        <v>0.42857142857142855</v>
      </c>
      <c r="S11" s="32">
        <f t="shared" si="3"/>
        <v>81.572644927332078</v>
      </c>
    </row>
    <row r="12" spans="1:20" x14ac:dyDescent="0.35">
      <c r="A12" s="1" t="s">
        <v>64</v>
      </c>
      <c r="B12" s="28" t="s">
        <v>65</v>
      </c>
      <c r="C12" s="1" t="s">
        <v>38</v>
      </c>
      <c r="D12" s="1" t="s">
        <v>39</v>
      </c>
      <c r="E12" s="28" t="s">
        <v>40</v>
      </c>
      <c r="F12" s="28" t="s">
        <v>159</v>
      </c>
      <c r="G12" s="28" t="str">
        <f>VLOOKUP($A12,'EBA2017'!$A:$G,7,FALSE)</f>
        <v>One</v>
      </c>
      <c r="H12" s="32">
        <f>VLOOKUP($A12,Calculator!$A:$T,20,FALSE)</f>
        <v>450</v>
      </c>
      <c r="I12" s="28">
        <f t="shared" si="1"/>
        <v>0.53446447507953321</v>
      </c>
      <c r="J12" s="1">
        <f>VLOOKUP($A12,Calculator!$A:$U,21,FALSE)</f>
        <v>11.161995896248582</v>
      </c>
      <c r="K12" s="28">
        <f t="shared" si="2"/>
        <v>0.98680260648621931</v>
      </c>
      <c r="L12" s="1">
        <f t="shared" si="0"/>
        <v>0.76063354078287626</v>
      </c>
      <c r="M12" s="32">
        <f>VLOOKUP($A12,Calculator!$A:$Z,17,FALSE)</f>
        <v>6</v>
      </c>
      <c r="N12" s="1">
        <f>VLOOKUP($A12,Calculator!$A:$Z,18,FALSE)</f>
        <v>6.5</v>
      </c>
      <c r="O12" s="1">
        <f>VLOOKUP($A12,Calculator!$A:$Z,19,FALSE)</f>
        <v>6</v>
      </c>
      <c r="P12" s="32">
        <f>IF(M12="No Data","No Data",M12/(7-IF(M12&lt;7,VLOOKUP($A12,'Data Gaps'!$A:$N,6,FALSE),0)))</f>
        <v>0.8571428571428571</v>
      </c>
      <c r="Q12" s="1">
        <f>IF(N12="No Data","No Data",N12/(7-IF(N12&lt;7,VLOOKUP($A12,'Data Gaps'!$A:$N,7,FALSE),0)))</f>
        <v>0.9285714285714286</v>
      </c>
      <c r="R12" s="1">
        <f>IF(O12="No Data","No Data",O12/(7-IF(O12&lt;7,VLOOKUP($A12,'Data Gaps'!$A:$N,8,FALSE),0)))</f>
        <v>0.8571428571428571</v>
      </c>
      <c r="S12" s="32">
        <f t="shared" si="3"/>
        <v>85.087267091000484</v>
      </c>
    </row>
    <row r="13" spans="1:20" x14ac:dyDescent="0.35">
      <c r="A13" s="1" t="s">
        <v>68</v>
      </c>
      <c r="B13" s="28" t="s">
        <v>69</v>
      </c>
      <c r="C13" s="1" t="s">
        <v>7</v>
      </c>
      <c r="D13" s="1" t="s">
        <v>8</v>
      </c>
      <c r="E13" s="28" t="s">
        <v>25</v>
      </c>
      <c r="F13" s="28" t="s">
        <v>162</v>
      </c>
      <c r="G13" s="28" t="str">
        <f>VLOOKUP($A13,'EBA2017'!$A:$G,7,FALSE)</f>
        <v>One</v>
      </c>
      <c r="H13" s="32">
        <f>VLOOKUP($A13,Calculator!$A:$T,20,FALSE)</f>
        <v>246</v>
      </c>
      <c r="I13" s="28">
        <f t="shared" si="1"/>
        <v>0.75079533404029686</v>
      </c>
      <c r="J13" s="1">
        <f>VLOOKUP($A13,Calculator!$A:$U,21,FALSE)</f>
        <v>11.699475447072128</v>
      </c>
      <c r="K13" s="28">
        <f t="shared" si="2"/>
        <v>0.98616711717017203</v>
      </c>
      <c r="L13" s="1">
        <f t="shared" si="0"/>
        <v>0.86848122560523444</v>
      </c>
      <c r="M13" s="32">
        <f>VLOOKUP($A13,Calculator!$A:$Z,17,FALSE)</f>
        <v>2.8999999999999995</v>
      </c>
      <c r="N13" s="1">
        <f>VLOOKUP($A13,Calculator!$A:$Z,18,FALSE)</f>
        <v>5</v>
      </c>
      <c r="O13" s="1">
        <f>VLOOKUP($A13,Calculator!$A:$Z,19,FALSE)</f>
        <v>6.5</v>
      </c>
      <c r="P13" s="32">
        <f>IF(M13="No Data","No Data",M13/(7-IF(M13&lt;7,VLOOKUP($A13,'Data Gaps'!$A:$N,6,FALSE),0)))</f>
        <v>0.4142857142857142</v>
      </c>
      <c r="Q13" s="1">
        <f>IF(N13="No Data","No Data",N13/(7-IF(N13&lt;7,VLOOKUP($A13,'Data Gaps'!$A:$N,7,FALSE),0)))</f>
        <v>0.7142857142857143</v>
      </c>
      <c r="R13" s="1">
        <f>IF(O13="No Data","No Data",O13/(7-IF(O13&lt;7,VLOOKUP($A13,'Data Gaps'!$A:$N,8,FALSE),0)))</f>
        <v>0.9285714285714286</v>
      </c>
      <c r="S13" s="32">
        <f t="shared" si="3"/>
        <v>73.140602068702293</v>
      </c>
    </row>
    <row r="14" spans="1:20" x14ac:dyDescent="0.35">
      <c r="A14" s="1" t="s">
        <v>74</v>
      </c>
      <c r="B14" s="28" t="s">
        <v>75</v>
      </c>
      <c r="C14" s="1" t="s">
        <v>7</v>
      </c>
      <c r="D14" s="1" t="s">
        <v>8</v>
      </c>
      <c r="E14" s="28" t="s">
        <v>9</v>
      </c>
      <c r="F14" s="28" t="s">
        <v>161</v>
      </c>
      <c r="G14" s="28" t="str">
        <f>VLOOKUP($A14,'EBA2017'!$A:$G,7,FALSE)</f>
        <v>One</v>
      </c>
      <c r="H14" s="32">
        <f>VLOOKUP($A14,Calculator!$A:$T,20,FALSE)</f>
        <v>357</v>
      </c>
      <c r="I14" s="28">
        <f t="shared" si="1"/>
        <v>0.63308589607635191</v>
      </c>
      <c r="J14" s="1">
        <f>VLOOKUP($A14,Calculator!$A:$U,21,FALSE)</f>
        <v>21.38899810960158</v>
      </c>
      <c r="K14" s="28">
        <f t="shared" si="2"/>
        <v>0.97471070339554622</v>
      </c>
      <c r="L14" s="1">
        <f t="shared" si="0"/>
        <v>0.80389829973594906</v>
      </c>
      <c r="M14" s="32">
        <f>VLOOKUP($A14,Calculator!$A:$Z,17,FALSE)</f>
        <v>3.8</v>
      </c>
      <c r="N14" s="1">
        <f>VLOOKUP($A14,Calculator!$A:$Z,18,FALSE)</f>
        <v>4</v>
      </c>
      <c r="O14" s="1">
        <f>VLOOKUP($A14,Calculator!$A:$Z,19,FALSE)</f>
        <v>6</v>
      </c>
      <c r="P14" s="32">
        <f>IF(M14="No Data","No Data",M14/(7-IF(M14&lt;7,VLOOKUP($A14,'Data Gaps'!$A:$N,6,FALSE),0)))</f>
        <v>0.54285714285714282</v>
      </c>
      <c r="Q14" s="1">
        <f>IF(N14="No Data","No Data",N14/(7-IF(N14&lt;7,VLOOKUP($A14,'Data Gaps'!$A:$N,7,FALSE),0)))</f>
        <v>0.5714285714285714</v>
      </c>
      <c r="R14" s="1">
        <f>IF(O14="No Data","No Data",O14/(7-IF(O14&lt;7,VLOOKUP($A14,'Data Gaps'!$A:$N,8,FALSE),0)))</f>
        <v>0.8571428571428571</v>
      </c>
      <c r="S14" s="32">
        <f t="shared" si="3"/>
        <v>69.383171779113013</v>
      </c>
    </row>
    <row r="15" spans="1:20" x14ac:dyDescent="0.35">
      <c r="A15" s="1" t="s">
        <v>72</v>
      </c>
      <c r="B15" s="28" t="s">
        <v>73</v>
      </c>
      <c r="C15" s="1" t="s">
        <v>38</v>
      </c>
      <c r="D15" s="1" t="s">
        <v>39</v>
      </c>
      <c r="E15" s="28" t="s">
        <v>40</v>
      </c>
      <c r="F15" s="28" t="s">
        <v>161</v>
      </c>
      <c r="G15" s="28" t="str">
        <f>VLOOKUP($A15,'EBA2017'!$A:$G,7,FALSE)</f>
        <v>One</v>
      </c>
      <c r="H15" s="32">
        <f>VLOOKUP($A15,Calculator!$A:$T,20,FALSE)</f>
        <v>459</v>
      </c>
      <c r="I15" s="28">
        <f t="shared" si="1"/>
        <v>0.52492046659597003</v>
      </c>
      <c r="J15" s="1">
        <f>VLOOKUP($A15,Calculator!$A:$U,21,FALSE)</f>
        <v>24.998008907811752</v>
      </c>
      <c r="K15" s="28">
        <f t="shared" si="2"/>
        <v>0.97044358699968103</v>
      </c>
      <c r="L15" s="1">
        <f t="shared" si="0"/>
        <v>0.74768202679782547</v>
      </c>
      <c r="M15" s="32">
        <f>VLOOKUP($A15,Calculator!$A:$Z,17,FALSE)</f>
        <v>4.5000000000000009</v>
      </c>
      <c r="N15" s="1">
        <f>VLOOKUP($A15,Calculator!$A:$Z,18,FALSE)</f>
        <v>4</v>
      </c>
      <c r="O15" s="1">
        <f>VLOOKUP($A15,Calculator!$A:$Z,19,FALSE)</f>
        <v>7</v>
      </c>
      <c r="P15" s="32">
        <f>IF(M15="No Data","No Data",M15/(7-IF(M15&lt;7,VLOOKUP($A15,'Data Gaps'!$A:$N,6,FALSE),0)))</f>
        <v>0.64285714285714302</v>
      </c>
      <c r="Q15" s="1">
        <f>IF(N15="No Data","No Data",N15/(7-IF(N15&lt;7,VLOOKUP($A15,'Data Gaps'!$A:$N,7,FALSE),0)))</f>
        <v>0.5714285714285714</v>
      </c>
      <c r="R15" s="1">
        <f>IF(O15="No Data","No Data",O15/(7-IF(O15&lt;7,VLOOKUP($A15,'Data Gaps'!$A:$N,8,FALSE),0)))</f>
        <v>1</v>
      </c>
      <c r="S15" s="32">
        <f t="shared" si="3"/>
        <v>74.049193527088491</v>
      </c>
    </row>
    <row r="16" spans="1:20" x14ac:dyDescent="0.35">
      <c r="A16" s="1" t="s">
        <v>78</v>
      </c>
      <c r="B16" s="28" t="s">
        <v>79</v>
      </c>
      <c r="C16" s="1" t="s">
        <v>16</v>
      </c>
      <c r="D16" s="1" t="s">
        <v>17</v>
      </c>
      <c r="E16" s="28" t="s">
        <v>18</v>
      </c>
      <c r="F16" s="28" t="s">
        <v>160</v>
      </c>
      <c r="G16" s="28" t="str">
        <f>VLOOKUP($A16,'EBA2017'!$A:$G,7,FALSE)</f>
        <v>One</v>
      </c>
      <c r="H16" s="32" t="str">
        <f>VLOOKUP($A16,Calculator!$A:$T,20,FALSE)</f>
        <v>N/A</v>
      </c>
      <c r="I16" s="28">
        <f t="shared" si="1"/>
        <v>0</v>
      </c>
      <c r="J16" s="1" t="str">
        <f>VLOOKUP($A16,Calculator!$A:$U,21,FALSE)</f>
        <v>N/A</v>
      </c>
      <c r="K16" s="28">
        <f t="shared" si="2"/>
        <v>0</v>
      </c>
      <c r="L16" s="1">
        <f t="shared" si="0"/>
        <v>0</v>
      </c>
      <c r="M16" s="32">
        <f>VLOOKUP($A16,Calculator!$A:$Z,17,FALSE)</f>
        <v>0</v>
      </c>
      <c r="N16" s="1">
        <f>VLOOKUP($A16,Calculator!$A:$Z,18,FALSE)</f>
        <v>0</v>
      </c>
      <c r="O16" s="1">
        <f>VLOOKUP($A16,Calculator!$A:$Z,19,FALSE)</f>
        <v>2.5</v>
      </c>
      <c r="P16" s="32">
        <f>IF(M16="No Data","No Data",M16/(7-IF(M16&lt;7,VLOOKUP($A16,'Data Gaps'!$A:$N,6,FALSE),0)))</f>
        <v>0</v>
      </c>
      <c r="Q16" s="1">
        <f>IF(N16="No Data","No Data",N16/(7-IF(N16&lt;7,VLOOKUP($A16,'Data Gaps'!$A:$N,7,FALSE),0)))</f>
        <v>0</v>
      </c>
      <c r="R16" s="1">
        <f>IF(O16="No Data","No Data",O16/(7-IF(O16&lt;7,VLOOKUP($A16,'Data Gaps'!$A:$N,8,FALSE),0)))</f>
        <v>0.35714285714285715</v>
      </c>
      <c r="S16" s="32">
        <f t="shared" si="3"/>
        <v>8.9285714285714288</v>
      </c>
    </row>
    <row r="17" spans="1:19" x14ac:dyDescent="0.35">
      <c r="A17" s="1" t="s">
        <v>84</v>
      </c>
      <c r="B17" s="28" t="s">
        <v>85</v>
      </c>
      <c r="C17" s="1" t="s">
        <v>16</v>
      </c>
      <c r="D17" s="1" t="s">
        <v>17</v>
      </c>
      <c r="E17" s="28" t="s">
        <v>18</v>
      </c>
      <c r="F17" s="28" t="s">
        <v>159</v>
      </c>
      <c r="G17" s="28" t="str">
        <f>VLOOKUP($A17,'EBA2017'!$A:$G,7,FALSE)</f>
        <v>One</v>
      </c>
      <c r="H17" s="32">
        <f>VLOOKUP($A17,Calculator!$A:$T,20,FALSE)</f>
        <v>90</v>
      </c>
      <c r="I17" s="28">
        <f t="shared" si="1"/>
        <v>0.91622481442205728</v>
      </c>
      <c r="J17" s="1">
        <f>VLOOKUP($A17,Calculator!$A:$U,21,FALSE)</f>
        <v>124.40210375251506</v>
      </c>
      <c r="K17" s="28">
        <f t="shared" si="2"/>
        <v>0.85291308719116155</v>
      </c>
      <c r="L17" s="1">
        <f t="shared" si="0"/>
        <v>0.88456895080660947</v>
      </c>
      <c r="M17" s="32">
        <f>VLOOKUP($A17,Calculator!$A:$Z,17,FALSE)</f>
        <v>4.5000000000000009</v>
      </c>
      <c r="N17" s="1">
        <f>VLOOKUP($A17,Calculator!$A:$Z,18,FALSE)</f>
        <v>3.5</v>
      </c>
      <c r="O17" s="1">
        <f>VLOOKUP($A17,Calculator!$A:$Z,19,FALSE)</f>
        <v>4.5000000000000009</v>
      </c>
      <c r="P17" s="32">
        <f>IF(M17="No Data","No Data",M17/(7-IF(M17&lt;7,VLOOKUP($A17,'Data Gaps'!$A:$N,6,FALSE),0)))</f>
        <v>0.64285714285714302</v>
      </c>
      <c r="Q17" s="1">
        <f>IF(N17="No Data","No Data",N17/(7-IF(N17&lt;7,VLOOKUP($A17,'Data Gaps'!$A:$N,7,FALSE),0)))</f>
        <v>0.5</v>
      </c>
      <c r="R17" s="1">
        <f>IF(O17="No Data","No Data",O17/(7-IF(O17&lt;7,VLOOKUP($A17,'Data Gaps'!$A:$N,8,FALSE),0)))</f>
        <v>0.64285714285714302</v>
      </c>
      <c r="S17" s="32">
        <f t="shared" si="3"/>
        <v>66.757080913022392</v>
      </c>
    </row>
    <row r="18" spans="1:19" x14ac:dyDescent="0.35">
      <c r="A18" s="1" t="s">
        <v>96</v>
      </c>
      <c r="B18" s="28" t="s">
        <v>97</v>
      </c>
      <c r="C18" s="1" t="s">
        <v>38</v>
      </c>
      <c r="D18" s="1" t="s">
        <v>39</v>
      </c>
      <c r="E18" s="28" t="s">
        <v>40</v>
      </c>
      <c r="F18" s="28" t="s">
        <v>161</v>
      </c>
      <c r="G18" s="28" t="str">
        <f>VLOOKUP($A18,'EBA2017'!$A:$G,7,FALSE)</f>
        <v>One</v>
      </c>
      <c r="H18" s="32" t="str">
        <f>VLOOKUP($A18,Calculator!$A:$T,20,FALSE)</f>
        <v>N/A</v>
      </c>
      <c r="I18" s="28">
        <f t="shared" si="1"/>
        <v>0</v>
      </c>
      <c r="J18" s="1" t="str">
        <f>VLOOKUP($A18,Calculator!$A:$U,21,FALSE)</f>
        <v>N/A</v>
      </c>
      <c r="K18" s="28">
        <f t="shared" si="2"/>
        <v>0</v>
      </c>
      <c r="L18" s="1">
        <f t="shared" si="0"/>
        <v>0</v>
      </c>
      <c r="M18" s="32">
        <f>VLOOKUP($A18,Calculator!$A:$Z,17,FALSE)</f>
        <v>5</v>
      </c>
      <c r="N18" s="1">
        <f>VLOOKUP($A18,Calculator!$A:$Z,18,FALSE)</f>
        <v>6.5</v>
      </c>
      <c r="O18" s="1">
        <f>VLOOKUP($A18,Calculator!$A:$Z,19,FALSE)</f>
        <v>6</v>
      </c>
      <c r="P18" s="32">
        <f>IF(M18="No Data","No Data",M18/(7-IF(M18&lt;7,VLOOKUP($A18,'Data Gaps'!$A:$N,6,FALSE),0)))</f>
        <v>0.7142857142857143</v>
      </c>
      <c r="Q18" s="1">
        <f>IF(N18="No Data","No Data",N18/(7-IF(N18&lt;7,VLOOKUP($A18,'Data Gaps'!$A:$N,7,FALSE),0)))</f>
        <v>0.9285714285714286</v>
      </c>
      <c r="R18" s="1">
        <f>IF(O18="No Data","No Data",O18/(7-IF(O18&lt;7,VLOOKUP($A18,'Data Gaps'!$A:$N,8,FALSE),0)))</f>
        <v>0.8571428571428571</v>
      </c>
      <c r="S18" s="32">
        <f t="shared" si="3"/>
        <v>62.5</v>
      </c>
    </row>
    <row r="19" spans="1:19" x14ac:dyDescent="0.35">
      <c r="A19" s="1" t="s">
        <v>94</v>
      </c>
      <c r="B19" s="28" t="s">
        <v>95</v>
      </c>
      <c r="C19" s="1" t="s">
        <v>12</v>
      </c>
      <c r="D19" s="1" t="s">
        <v>13</v>
      </c>
      <c r="E19" s="28" t="s">
        <v>18</v>
      </c>
      <c r="F19" s="28" t="s">
        <v>160</v>
      </c>
      <c r="G19" s="28" t="str">
        <f>VLOOKUP($A19,'EBA2017'!$A:$G,7,FALSE)</f>
        <v>One</v>
      </c>
      <c r="H19" s="32">
        <f>VLOOKUP($A19,Calculator!$A:$T,20,FALSE)</f>
        <v>1125</v>
      </c>
      <c r="I19" s="28">
        <f t="shared" si="1"/>
        <v>0</v>
      </c>
      <c r="J19" s="1">
        <f>VLOOKUP($A19,Calculator!$A:$U,21,FALSE)</f>
        <v>645.20547945205476</v>
      </c>
      <c r="K19" s="28">
        <f t="shared" si="2"/>
        <v>0.23714085825473366</v>
      </c>
      <c r="L19" s="1">
        <f t="shared" si="0"/>
        <v>0.11857042912736683</v>
      </c>
      <c r="M19" s="32">
        <f>VLOOKUP($A19,Calculator!$A:$Z,17,FALSE)</f>
        <v>3.4</v>
      </c>
      <c r="N19" s="1">
        <f>VLOOKUP($A19,Calculator!$A:$Z,18,FALSE)</f>
        <v>5</v>
      </c>
      <c r="O19" s="1">
        <f>VLOOKUP($A19,Calculator!$A:$Z,19,FALSE)</f>
        <v>3.5</v>
      </c>
      <c r="P19" s="32">
        <f>IF(M19="No Data","No Data",M19/(7-IF(M19&lt;7,VLOOKUP($A19,'Data Gaps'!$A:$N,6,FALSE),0)))</f>
        <v>0.48571428571428571</v>
      </c>
      <c r="Q19" s="1">
        <f>IF(N19="No Data","No Data",N19/(7-IF(N19&lt;7,VLOOKUP($A19,'Data Gaps'!$A:$N,7,FALSE),0)))</f>
        <v>0.7142857142857143</v>
      </c>
      <c r="R19" s="1">
        <f>IF(O19="No Data","No Data",O19/(7-IF(O19&lt;7,VLOOKUP($A19,'Data Gaps'!$A:$N,8,FALSE),0)))</f>
        <v>0.5</v>
      </c>
      <c r="S19" s="32">
        <f t="shared" si="3"/>
        <v>45.464260728184172</v>
      </c>
    </row>
    <row r="20" spans="1:19" x14ac:dyDescent="0.35">
      <c r="A20" s="1" t="s">
        <v>104</v>
      </c>
      <c r="B20" s="28" t="s">
        <v>105</v>
      </c>
      <c r="C20" s="1" t="s">
        <v>21</v>
      </c>
      <c r="D20" s="1" t="s">
        <v>22</v>
      </c>
      <c r="E20" s="29" t="s">
        <v>25</v>
      </c>
      <c r="F20" s="28" t="s">
        <v>160</v>
      </c>
      <c r="G20" s="28" t="str">
        <f>VLOOKUP($A20,'EBA2017'!$A:$G,7,FALSE)</f>
        <v>One</v>
      </c>
      <c r="H20" s="32" t="str">
        <f>VLOOKUP($A20,Calculator!$A:$T,20,FALSE)</f>
        <v>N/A</v>
      </c>
      <c r="I20" s="28">
        <f t="shared" si="1"/>
        <v>0</v>
      </c>
      <c r="J20" s="1" t="str">
        <f>VLOOKUP($A20,Calculator!$A:$U,21,FALSE)</f>
        <v>N/A</v>
      </c>
      <c r="K20" s="28">
        <f t="shared" si="2"/>
        <v>0</v>
      </c>
      <c r="L20" s="1">
        <f t="shared" si="0"/>
        <v>0</v>
      </c>
      <c r="M20" s="32">
        <f>VLOOKUP($A20,Calculator!$A:$Z,17,FALSE)</f>
        <v>0</v>
      </c>
      <c r="N20" s="1">
        <f>VLOOKUP($A20,Calculator!$A:$Z,18,FALSE)</f>
        <v>2.5</v>
      </c>
      <c r="O20" s="1">
        <f>VLOOKUP($A20,Calculator!$A:$Z,19,FALSE)</f>
        <v>6</v>
      </c>
      <c r="P20" s="32">
        <f>IF(M20="No Data","No Data",M20/(7-IF(M20&lt;7,VLOOKUP($A20,'Data Gaps'!$A:$N,6,FALSE),0)))</f>
        <v>0</v>
      </c>
      <c r="Q20" s="1">
        <f>IF(N20="No Data","No Data",N20/(7-IF(N20&lt;7,VLOOKUP($A20,'Data Gaps'!$A:$N,7,FALSE),0)))</f>
        <v>0.35714285714285715</v>
      </c>
      <c r="R20" s="1">
        <f>IF(O20="No Data","No Data",O20/(7-IF(O20&lt;7,VLOOKUP($A20,'Data Gaps'!$A:$N,8,FALSE),0)))</f>
        <v>0.8571428571428571</v>
      </c>
      <c r="S20" s="32">
        <f t="shared" si="3"/>
        <v>30.357142857142854</v>
      </c>
    </row>
    <row r="21" spans="1:19" x14ac:dyDescent="0.35">
      <c r="A21" s="1" t="s">
        <v>108</v>
      </c>
      <c r="B21" s="28" t="s">
        <v>109</v>
      </c>
      <c r="C21" s="1" t="s">
        <v>38</v>
      </c>
      <c r="D21" s="1" t="s">
        <v>39</v>
      </c>
      <c r="E21" s="29" t="s">
        <v>40</v>
      </c>
      <c r="F21" s="28" t="s">
        <v>162</v>
      </c>
      <c r="G21" s="28" t="str">
        <f>VLOOKUP($A21,'EBA2017'!$A:$G,7,FALSE)</f>
        <v>One</v>
      </c>
      <c r="H21" s="32">
        <f>VLOOKUP($A21,Calculator!$A:$T,20,FALSE)</f>
        <v>60</v>
      </c>
      <c r="I21" s="28">
        <f t="shared" si="1"/>
        <v>0.94803817603393425</v>
      </c>
      <c r="J21" s="1">
        <f>VLOOKUP($A21,Calculator!$A:$U,21,FALSE)</f>
        <v>15.749043065292748</v>
      </c>
      <c r="K21" s="28">
        <f t="shared" si="2"/>
        <v>0.98137910811560103</v>
      </c>
      <c r="L21" s="1">
        <f t="shared" si="0"/>
        <v>0.9647086420747677</v>
      </c>
      <c r="M21" s="32">
        <f>VLOOKUP($A21,Calculator!$A:$Z,17,FALSE)</f>
        <v>7</v>
      </c>
      <c r="N21" s="1">
        <f>VLOOKUP($A21,Calculator!$A:$Z,18,FALSE)</f>
        <v>6.5</v>
      </c>
      <c r="O21" s="1">
        <f>VLOOKUP($A21,Calculator!$A:$Z,19,FALSE)</f>
        <v>6</v>
      </c>
      <c r="P21" s="32">
        <f>IF(M21="No Data","No Data",M21/(7-IF(M21&lt;7,VLOOKUP($A21,'Data Gaps'!$A:$N,6,FALSE),0)))</f>
        <v>1</v>
      </c>
      <c r="Q21" s="1">
        <f>IF(N21="No Data","No Data",N21/(7-IF(N21&lt;7,VLOOKUP($A21,'Data Gaps'!$A:$N,7,FALSE),0)))</f>
        <v>0.9285714285714286</v>
      </c>
      <c r="R21" s="1">
        <f>IF(O21="No Data","No Data",O21/(7-IF(O21&lt;7,VLOOKUP($A21,'Data Gaps'!$A:$N,8,FALSE),0)))</f>
        <v>0.8571428571428571</v>
      </c>
      <c r="S21" s="32">
        <f t="shared" si="3"/>
        <v>93.760573194726334</v>
      </c>
    </row>
    <row r="22" spans="1:19" x14ac:dyDescent="0.35">
      <c r="A22" s="1" t="s">
        <v>110</v>
      </c>
      <c r="B22" s="28" t="s">
        <v>111</v>
      </c>
      <c r="C22" s="1" t="s">
        <v>7</v>
      </c>
      <c r="D22" s="1" t="s">
        <v>8</v>
      </c>
      <c r="E22" s="29" t="s">
        <v>25</v>
      </c>
      <c r="F22" s="28" t="s">
        <v>162</v>
      </c>
      <c r="G22" s="28" t="str">
        <f>VLOOKUP($A22,'EBA2017'!$A:$G,7,FALSE)</f>
        <v>One</v>
      </c>
      <c r="H22" s="32">
        <f>VLOOKUP($A22,Calculator!$A:$T,20,FALSE)</f>
        <v>1205</v>
      </c>
      <c r="I22" s="28">
        <f t="shared" si="1"/>
        <v>0</v>
      </c>
      <c r="J22" s="1">
        <f>VLOOKUP($A22,Calculator!$A:$U,21,FALSE)</f>
        <v>46.284200735873149</v>
      </c>
      <c r="K22" s="28">
        <f t="shared" si="2"/>
        <v>0.94527584347281168</v>
      </c>
      <c r="L22" s="1">
        <f t="shared" si="0"/>
        <v>0.47263792173640584</v>
      </c>
      <c r="M22" s="32">
        <f>VLOOKUP($A22,Calculator!$A:$Z,17,FALSE)</f>
        <v>4.8</v>
      </c>
      <c r="N22" s="1">
        <f>VLOOKUP($A22,Calculator!$A:$Z,18,FALSE)</f>
        <v>6.5</v>
      </c>
      <c r="O22" s="1">
        <f>VLOOKUP($A22,Calculator!$A:$Z,19,FALSE)</f>
        <v>3</v>
      </c>
      <c r="P22" s="32">
        <f>IF(M22="No Data","No Data",M22/(7-IF(M22&lt;7,VLOOKUP($A22,'Data Gaps'!$A:$N,6,FALSE),0)))</f>
        <v>0.68571428571428572</v>
      </c>
      <c r="Q22" s="1">
        <f>IF(N22="No Data","No Data",N22/(7-IF(N22&lt;7,VLOOKUP($A22,'Data Gaps'!$A:$N,7,FALSE),0)))</f>
        <v>0.9285714285714286</v>
      </c>
      <c r="R22" s="1">
        <f>IF(O22="No Data","No Data",O22/(7-IF(O22&lt;7,VLOOKUP($A22,'Data Gaps'!$A:$N,8,FALSE),0)))</f>
        <v>0.5</v>
      </c>
      <c r="S22" s="32">
        <f t="shared" si="3"/>
        <v>64.673090900552992</v>
      </c>
    </row>
    <row r="23" spans="1:19" x14ac:dyDescent="0.35">
      <c r="A23" s="1" t="s">
        <v>112</v>
      </c>
      <c r="B23" s="28" t="s">
        <v>113</v>
      </c>
      <c r="C23" s="1" t="s">
        <v>7</v>
      </c>
      <c r="D23" s="1" t="s">
        <v>8</v>
      </c>
      <c r="E23" s="29" t="s">
        <v>25</v>
      </c>
      <c r="F23" s="28" t="s">
        <v>162</v>
      </c>
      <c r="G23" s="28" t="str">
        <f>VLOOKUP($A23,'EBA2017'!$A:$G,7,FALSE)</f>
        <v>One</v>
      </c>
      <c r="H23" s="32">
        <f>VLOOKUP($A23,Calculator!$A:$T,20,FALSE)</f>
        <v>330</v>
      </c>
      <c r="I23" s="28">
        <f t="shared" si="1"/>
        <v>0.66171792152704123</v>
      </c>
      <c r="J23" s="1">
        <f>VLOOKUP($A23,Calculator!$A:$U,21,FALSE)</f>
        <v>59.586683385016059</v>
      </c>
      <c r="K23" s="28">
        <f t="shared" si="2"/>
        <v>0.92954764397669976</v>
      </c>
      <c r="L23" s="1">
        <f t="shared" si="0"/>
        <v>0.79563278275187055</v>
      </c>
      <c r="M23" s="32">
        <f>VLOOKUP($A23,Calculator!$A:$Z,17,FALSE)</f>
        <v>4.8</v>
      </c>
      <c r="N23" s="1">
        <f>VLOOKUP($A23,Calculator!$A:$Z,18,FALSE)</f>
        <v>3</v>
      </c>
      <c r="O23" s="1">
        <f>VLOOKUP($A23,Calculator!$A:$Z,19,FALSE)</f>
        <v>6</v>
      </c>
      <c r="P23" s="32">
        <f>IF(M23="No Data","No Data",M23/(7-IF(M23&lt;7,VLOOKUP($A23,'Data Gaps'!$A:$N,6,FALSE),0)))</f>
        <v>0.68571428571428572</v>
      </c>
      <c r="Q23" s="1">
        <f>IF(N23="No Data","No Data",N23/(7-IF(N23&lt;7,VLOOKUP($A23,'Data Gaps'!$A:$N,7,FALSE),0)))</f>
        <v>0.42857142857142855</v>
      </c>
      <c r="R23" s="1">
        <f>IF(O23="No Data","No Data",O23/(7-IF(O23&lt;7,VLOOKUP($A23,'Data Gaps'!$A:$N,8,FALSE),0)))</f>
        <v>0.8571428571428571</v>
      </c>
      <c r="S23" s="32">
        <f t="shared" si="3"/>
        <v>69.17653385451105</v>
      </c>
    </row>
    <row r="24" spans="1:19" x14ac:dyDescent="0.35">
      <c r="A24" s="1" t="s">
        <v>114</v>
      </c>
      <c r="B24" s="28" t="s">
        <v>115</v>
      </c>
      <c r="C24" s="1" t="s">
        <v>16</v>
      </c>
      <c r="D24" s="1" t="s">
        <v>17</v>
      </c>
      <c r="E24" s="29" t="s">
        <v>18</v>
      </c>
      <c r="F24" s="28" t="s">
        <v>160</v>
      </c>
      <c r="G24" s="28" t="str">
        <f>VLOOKUP($A24,'EBA2017'!$A:$G,7,FALSE)</f>
        <v>One</v>
      </c>
      <c r="H24" s="32">
        <f>VLOOKUP($A24,Calculator!$A:$T,20,FALSE)</f>
        <v>730</v>
      </c>
      <c r="I24" s="28">
        <f t="shared" si="1"/>
        <v>0.23753976670201449</v>
      </c>
      <c r="J24" s="1">
        <f>VLOOKUP($A24,Calculator!$A:$U,21,FALSE)</f>
        <v>2.0225820039564324</v>
      </c>
      <c r="K24" s="28">
        <f t="shared" si="2"/>
        <v>0.99760859877855035</v>
      </c>
      <c r="L24" s="1">
        <f t="shared" si="0"/>
        <v>0.61757418274028242</v>
      </c>
      <c r="M24" s="32">
        <f>VLOOKUP($A24,Calculator!$A:$Z,17,FALSE)</f>
        <v>1.9</v>
      </c>
      <c r="N24" s="1">
        <f>VLOOKUP($A24,Calculator!$A:$Z,18,FALSE)</f>
        <v>4</v>
      </c>
      <c r="O24" s="1">
        <f>VLOOKUP($A24,Calculator!$A:$Z,19,FALSE)</f>
        <v>4.5000000000000009</v>
      </c>
      <c r="P24" s="32">
        <f>IF(M24="No Data","No Data",M24/(7-IF(M24&lt;7,VLOOKUP($A24,'Data Gaps'!$A:$N,6,FALSE),0)))</f>
        <v>0.27142857142857141</v>
      </c>
      <c r="Q24" s="1">
        <f>IF(N24="No Data","No Data",N24/(7-IF(N24&lt;7,VLOOKUP($A24,'Data Gaps'!$A:$N,7,FALSE),0)))</f>
        <v>0.5714285714285714</v>
      </c>
      <c r="R24" s="1">
        <f>IF(O24="No Data","No Data",O24/(7-IF(O24&lt;7,VLOOKUP($A24,'Data Gaps'!$A:$N,8,FALSE),0)))</f>
        <v>0.64285714285714302</v>
      </c>
      <c r="S24" s="32">
        <f t="shared" si="3"/>
        <v>52.582211711364209</v>
      </c>
    </row>
    <row r="25" spans="1:19" x14ac:dyDescent="0.35">
      <c r="A25" s="1" t="s">
        <v>116</v>
      </c>
      <c r="B25" s="28" t="s">
        <v>117</v>
      </c>
      <c r="C25" s="1" t="s">
        <v>16</v>
      </c>
      <c r="D25" s="1" t="s">
        <v>17</v>
      </c>
      <c r="E25" s="29" t="s">
        <v>18</v>
      </c>
      <c r="F25" s="28" t="s">
        <v>162</v>
      </c>
      <c r="G25" s="28" t="str">
        <f>VLOOKUP($A25,'EBA2017'!$A:$G,7,FALSE)</f>
        <v>One</v>
      </c>
      <c r="H25" s="32" t="str">
        <f>VLOOKUP($A25,Calculator!$A:$T,20,FALSE)</f>
        <v>N/A</v>
      </c>
      <c r="I25" s="28">
        <f t="shared" si="1"/>
        <v>0</v>
      </c>
      <c r="J25" s="1" t="str">
        <f>VLOOKUP($A25,Calculator!$A:$U,21,FALSE)</f>
        <v>N/A</v>
      </c>
      <c r="K25" s="28">
        <f t="shared" si="2"/>
        <v>0</v>
      </c>
      <c r="L25" s="1">
        <f t="shared" si="0"/>
        <v>0</v>
      </c>
      <c r="M25" s="32">
        <f>VLOOKUP($A25,Calculator!$A:$Z,17,FALSE)</f>
        <v>0</v>
      </c>
      <c r="N25" s="1">
        <f>VLOOKUP($A25,Calculator!$A:$Z,18,FALSE)</f>
        <v>1</v>
      </c>
      <c r="O25" s="1">
        <f>VLOOKUP($A25,Calculator!$A:$Z,19,FALSE)</f>
        <v>4</v>
      </c>
      <c r="P25" s="32">
        <f>IF(M25="No Data","No Data",M25/(7-IF(M25&lt;7,VLOOKUP($A25,'Data Gaps'!$A:$N,6,FALSE),0)))</f>
        <v>0</v>
      </c>
      <c r="Q25" s="1">
        <f>IF(N25="No Data","No Data",N25/(7-IF(N25&lt;7,VLOOKUP($A25,'Data Gaps'!$A:$N,7,FALSE),0)))</f>
        <v>0.14285714285714285</v>
      </c>
      <c r="R25" s="1">
        <f>IF(O25="No Data","No Data",O25/(7-IF(O25&lt;7,VLOOKUP($A25,'Data Gaps'!$A:$N,8,FALSE),0)))</f>
        <v>0.5714285714285714</v>
      </c>
      <c r="S25" s="32">
        <f t="shared" si="3"/>
        <v>17.857142857142854</v>
      </c>
    </row>
    <row r="26" spans="1:19" x14ac:dyDescent="0.35">
      <c r="A26" s="1" t="s">
        <v>118</v>
      </c>
      <c r="B26" s="28" t="s">
        <v>119</v>
      </c>
      <c r="C26" s="1" t="s">
        <v>7</v>
      </c>
      <c r="D26" s="1" t="s">
        <v>8</v>
      </c>
      <c r="E26" s="29" t="s">
        <v>25</v>
      </c>
      <c r="F26" s="28" t="s">
        <v>162</v>
      </c>
      <c r="G26" s="28" t="str">
        <f>VLOOKUP($A26,'EBA2017'!$A:$G,7,FALSE)</f>
        <v>One</v>
      </c>
      <c r="H26" s="32">
        <f>VLOOKUP($A26,Calculator!$A:$T,20,FALSE)</f>
        <v>22</v>
      </c>
      <c r="I26" s="28">
        <f t="shared" si="1"/>
        <v>0.98833510074231179</v>
      </c>
      <c r="J26" s="1">
        <f>VLOOKUP($A26,Calculator!$A:$U,21,FALSE)</f>
        <v>5.3129597598752092</v>
      </c>
      <c r="K26" s="28">
        <f t="shared" si="2"/>
        <v>0.9937182183790696</v>
      </c>
      <c r="L26" s="1">
        <f t="shared" si="0"/>
        <v>0.99102665956069069</v>
      </c>
      <c r="M26" s="32">
        <f>VLOOKUP($A26,Calculator!$A:$Z,17,FALSE)</f>
        <v>5.7999999999999989</v>
      </c>
      <c r="N26" s="1">
        <f>VLOOKUP($A26,Calculator!$A:$Z,18,FALSE)</f>
        <v>6</v>
      </c>
      <c r="O26" s="1">
        <f>VLOOKUP($A26,Calculator!$A:$Z,19,FALSE)</f>
        <v>7</v>
      </c>
      <c r="P26" s="32">
        <f>IF(M26="No Data","No Data",M26/(7-IF(M26&lt;7,VLOOKUP($A26,'Data Gaps'!$A:$N,6,FALSE),0)))</f>
        <v>0.8285714285714284</v>
      </c>
      <c r="Q26" s="1">
        <f>IF(N26="No Data","No Data",N26/(7-IF(N26&lt;7,VLOOKUP($A26,'Data Gaps'!$A:$N,7,FALSE),0)))</f>
        <v>0.8571428571428571</v>
      </c>
      <c r="R26" s="1">
        <f>IF(O26="No Data","No Data",O26/(7-IF(O26&lt;7,VLOOKUP($A26,'Data Gaps'!$A:$N,8,FALSE),0)))</f>
        <v>1</v>
      </c>
      <c r="S26" s="32">
        <f t="shared" si="3"/>
        <v>91.918523631874407</v>
      </c>
    </row>
    <row r="27" spans="1:19" x14ac:dyDescent="0.35">
      <c r="A27" s="1" t="s">
        <v>126</v>
      </c>
      <c r="B27" s="28" t="s">
        <v>127</v>
      </c>
      <c r="C27" s="1" t="s">
        <v>7</v>
      </c>
      <c r="D27" s="1" t="s">
        <v>8</v>
      </c>
      <c r="E27" s="29" t="s">
        <v>9</v>
      </c>
      <c r="F27" s="28" t="s">
        <v>159</v>
      </c>
      <c r="G27" s="28" t="str">
        <f>VLOOKUP($A27,'EBA2017'!$A:$G,7,FALSE)</f>
        <v>One</v>
      </c>
      <c r="H27" s="32" t="str">
        <f>VLOOKUP($A27,Calculator!$A:$T,20,FALSE)</f>
        <v>No practice</v>
      </c>
      <c r="I27" s="28">
        <f t="shared" si="1"/>
        <v>0</v>
      </c>
      <c r="J27" s="1" t="str">
        <f>VLOOKUP($A27,Calculator!$A:$U,21,FALSE)</f>
        <v>No practice</v>
      </c>
      <c r="K27" s="28">
        <f t="shared" si="2"/>
        <v>0</v>
      </c>
      <c r="L27" s="1">
        <f t="shared" si="0"/>
        <v>0</v>
      </c>
      <c r="M27" s="32">
        <f>VLOOKUP($A27,Calculator!$A:$Z,17,FALSE)</f>
        <v>2.2999999999999998</v>
      </c>
      <c r="N27" s="1">
        <f>VLOOKUP($A27,Calculator!$A:$Z,18,FALSE)</f>
        <v>2</v>
      </c>
      <c r="O27" s="1">
        <f>VLOOKUP($A27,Calculator!$A:$Z,19,FALSE)</f>
        <v>6</v>
      </c>
      <c r="P27" s="32">
        <f>IF(M27="No Data","No Data",M27/(7-IF(M27&lt;7,VLOOKUP($A27,'Data Gaps'!$A:$N,6,FALSE),0)))</f>
        <v>0.32857142857142857</v>
      </c>
      <c r="Q27" s="1">
        <f>IF(N27="No Data","No Data",N27/(7-IF(N27&lt;7,VLOOKUP($A27,'Data Gaps'!$A:$N,7,FALSE),0)))</f>
        <v>0.2857142857142857</v>
      </c>
      <c r="R27" s="1">
        <f>IF(O27="No Data","No Data",O27/(7-IF(O27&lt;7,VLOOKUP($A27,'Data Gaps'!$A:$N,8,FALSE),0)))</f>
        <v>0.8571428571428571</v>
      </c>
      <c r="S27" s="32">
        <f t="shared" si="3"/>
        <v>36.785714285714292</v>
      </c>
    </row>
    <row r="28" spans="1:19" x14ac:dyDescent="0.35">
      <c r="A28" s="1" t="s">
        <v>132</v>
      </c>
      <c r="B28" s="28" t="s">
        <v>133</v>
      </c>
      <c r="C28" s="1" t="s">
        <v>7</v>
      </c>
      <c r="D28" s="1" t="s">
        <v>8</v>
      </c>
      <c r="E28" s="28" t="s">
        <v>25</v>
      </c>
      <c r="F28" s="28" t="s">
        <v>159</v>
      </c>
      <c r="G28" s="28" t="str">
        <f>VLOOKUP($A28,'EBA2017'!$A:$G,7,FALSE)</f>
        <v>One</v>
      </c>
      <c r="H28" s="32">
        <f>VLOOKUP($A28,Calculator!$A:$T,20,FALSE)</f>
        <v>50</v>
      </c>
      <c r="I28" s="28">
        <f t="shared" si="1"/>
        <v>0.95864262990455984</v>
      </c>
      <c r="J28" s="1">
        <f>VLOOKUP($A28,Calculator!$A:$U,21,FALSE)</f>
        <v>1.6533505558909496</v>
      </c>
      <c r="K28" s="28">
        <f t="shared" si="2"/>
        <v>0.99804515983475195</v>
      </c>
      <c r="L28" s="1">
        <f t="shared" si="0"/>
        <v>0.97834389486965589</v>
      </c>
      <c r="M28" s="32">
        <f>VLOOKUP($A28,Calculator!$A:$Z,17,FALSE)</f>
        <v>5.4000000000000012</v>
      </c>
      <c r="N28" s="1">
        <f>VLOOKUP($A28,Calculator!$A:$Z,18,FALSE)</f>
        <v>5</v>
      </c>
      <c r="O28" s="1">
        <f>VLOOKUP($A28,Calculator!$A:$Z,19,FALSE)</f>
        <v>3.5</v>
      </c>
      <c r="P28" s="32">
        <f>IF(M28="No Data","No Data",M28/(7-IF(M28&lt;7,VLOOKUP($A28,'Data Gaps'!$A:$N,6,FALSE),0)))</f>
        <v>0.77142857142857157</v>
      </c>
      <c r="Q28" s="1">
        <f>IF(N28="No Data","No Data",N28/(7-IF(N28&lt;7,VLOOKUP($A28,'Data Gaps'!$A:$N,7,FALSE),0)))</f>
        <v>0.7142857142857143</v>
      </c>
      <c r="R28" s="1">
        <f>IF(O28="No Data","No Data",O28/(7-IF(O28&lt;7,VLOOKUP($A28,'Data Gaps'!$A:$N,8,FALSE),0)))</f>
        <v>0.5</v>
      </c>
      <c r="S28" s="32">
        <f t="shared" si="3"/>
        <v>74.101454514598544</v>
      </c>
    </row>
    <row r="29" spans="1:19" x14ac:dyDescent="0.35">
      <c r="A29" s="1" t="s">
        <v>136</v>
      </c>
      <c r="B29" s="28" t="s">
        <v>137</v>
      </c>
      <c r="C29" s="1" t="s">
        <v>7</v>
      </c>
      <c r="D29" s="1" t="s">
        <v>8</v>
      </c>
      <c r="E29" s="28" t="s">
        <v>9</v>
      </c>
      <c r="F29" s="28" t="s">
        <v>162</v>
      </c>
      <c r="G29" s="28" t="str">
        <f>VLOOKUP($A29,'EBA2017'!$A:$G,7,FALSE)</f>
        <v>One</v>
      </c>
      <c r="H29" s="32">
        <f>VLOOKUP($A29,Calculator!$A:$T,20,FALSE)</f>
        <v>325</v>
      </c>
      <c r="I29" s="28">
        <f t="shared" si="1"/>
        <v>0.66702014846235402</v>
      </c>
      <c r="J29" s="1">
        <f>VLOOKUP($A29,Calculator!$A:$U,21,FALSE)</f>
        <v>845.7727569154589</v>
      </c>
      <c r="K29" s="28">
        <f t="shared" si="2"/>
        <v>0</v>
      </c>
      <c r="L29" s="1">
        <f t="shared" si="0"/>
        <v>0.33351007423117701</v>
      </c>
      <c r="M29" s="32">
        <f>VLOOKUP($A29,Calculator!$A:$Z,17,FALSE)</f>
        <v>4.8</v>
      </c>
      <c r="N29" s="1">
        <f>VLOOKUP($A29,Calculator!$A:$Z,18,FALSE)</f>
        <v>3</v>
      </c>
      <c r="O29" s="1">
        <f>VLOOKUP($A29,Calculator!$A:$Z,19,FALSE)</f>
        <v>6</v>
      </c>
      <c r="P29" s="32">
        <f>IF(M29="No Data","No Data",M29/(7-IF(M29&lt;7,VLOOKUP($A29,'Data Gaps'!$A:$N,6,FALSE),0)))</f>
        <v>0.68571428571428572</v>
      </c>
      <c r="Q29" s="1">
        <f>IF(N29="No Data","No Data",N29/(7-IF(N29&lt;7,VLOOKUP($A29,'Data Gaps'!$A:$N,7,FALSE),0)))</f>
        <v>0.42857142857142855</v>
      </c>
      <c r="R29" s="1">
        <f>IF(O29="No Data","No Data",O29/(7-IF(O29&lt;7,VLOOKUP($A29,'Data Gaps'!$A:$N,8,FALSE),0)))</f>
        <v>0.8571428571428571</v>
      </c>
      <c r="S29" s="32">
        <f t="shared" si="3"/>
        <v>57.623466141493708</v>
      </c>
    </row>
    <row r="30" spans="1:19" x14ac:dyDescent="0.35">
      <c r="A30" s="1" t="s">
        <v>28</v>
      </c>
      <c r="B30" s="28" t="s">
        <v>29</v>
      </c>
      <c r="C30" s="1" t="s">
        <v>16</v>
      </c>
      <c r="D30" s="1" t="s">
        <v>17</v>
      </c>
      <c r="E30" s="29" t="s">
        <v>18</v>
      </c>
      <c r="F30" s="28" t="s">
        <v>160</v>
      </c>
      <c r="G30" s="28" t="str">
        <f>VLOOKUP($A30,'EBA2017'!$A:$G,7,FALSE)</f>
        <v>Two</v>
      </c>
      <c r="H30" s="32" t="str">
        <f>VLOOKUP($A30,Calculator!$A:$T,20,FALSE)</f>
        <v>No practice</v>
      </c>
      <c r="I30" s="28">
        <f t="shared" si="1"/>
        <v>0</v>
      </c>
      <c r="J30" s="1" t="str">
        <f>VLOOKUP($A30,Calculator!$A:$U,21,FALSE)</f>
        <v>No practice</v>
      </c>
      <c r="K30" s="28">
        <f t="shared" si="2"/>
        <v>0</v>
      </c>
      <c r="L30" s="1">
        <f t="shared" si="0"/>
        <v>0</v>
      </c>
      <c r="M30" s="32">
        <f>VLOOKUP($A30,Calculator!$A:$Z,17,FALSE)</f>
        <v>3</v>
      </c>
      <c r="N30" s="1">
        <f>VLOOKUP($A30,Calculator!$A:$Z,18,FALSE)</f>
        <v>3.9999999999999996</v>
      </c>
      <c r="O30" s="1">
        <f>VLOOKUP($A30,Calculator!$A:$Z,19,FALSE)</f>
        <v>4</v>
      </c>
      <c r="P30" s="32">
        <f>IF(M30="No Data","No Data",M30/(7-IF(M30&lt;7,VLOOKUP($A30,'Data Gaps'!$A:$N,6,FALSE),0)))</f>
        <v>0.42857142857142855</v>
      </c>
      <c r="Q30" s="1">
        <f>IF(N30="No Data","No Data",N30/(7-IF(N30&lt;7,VLOOKUP($A30,'Data Gaps'!$A:$N,7,FALSE),0)))</f>
        <v>0.66666666666666663</v>
      </c>
      <c r="R30" s="1">
        <f>IF(O30="No Data","No Data",O30/(7-IF(O30&lt;7,VLOOKUP($A30,'Data Gaps'!$A:$N,8,FALSE),0)))</f>
        <v>0.5714285714285714</v>
      </c>
      <c r="S30" s="32">
        <f t="shared" si="3"/>
        <v>41.666666666666664</v>
      </c>
    </row>
    <row r="31" spans="1:19" x14ac:dyDescent="0.35">
      <c r="A31" s="1" t="s">
        <v>14</v>
      </c>
      <c r="B31" s="28" t="s">
        <v>15</v>
      </c>
      <c r="C31" s="1" t="s">
        <v>16</v>
      </c>
      <c r="D31" s="1" t="s">
        <v>17</v>
      </c>
      <c r="E31" s="29" t="s">
        <v>18</v>
      </c>
      <c r="F31" s="28" t="s">
        <v>159</v>
      </c>
      <c r="G31" s="28" t="str">
        <f>VLOOKUP($A31,'EBA2017'!$A:$G,7,FALSE)</f>
        <v>Two</v>
      </c>
      <c r="H31" s="32" t="str">
        <f>VLOOKUP($A31,Calculator!$A:$T,20,FALSE)</f>
        <v>N/A</v>
      </c>
      <c r="I31" s="28">
        <f t="shared" si="1"/>
        <v>0</v>
      </c>
      <c r="J31" s="1" t="str">
        <f>VLOOKUP($A31,Calculator!$A:$U,21,FALSE)</f>
        <v>N/A</v>
      </c>
      <c r="K31" s="28">
        <f t="shared" si="2"/>
        <v>0</v>
      </c>
      <c r="L31" s="1">
        <f t="shared" si="0"/>
        <v>0</v>
      </c>
      <c r="M31" s="32">
        <f>VLOOKUP($A31,Calculator!$A:$Z,17,FALSE)</f>
        <v>0</v>
      </c>
      <c r="N31" s="1">
        <f>VLOOKUP($A31,Calculator!$A:$Z,18,FALSE)</f>
        <v>0</v>
      </c>
      <c r="O31" s="1">
        <f>VLOOKUP($A31,Calculator!$A:$Z,19,FALSE)</f>
        <v>3.5</v>
      </c>
      <c r="P31" s="32">
        <f>IF(M31="No Data","No Data",M31/(7-IF(M31&lt;7,VLOOKUP($A31,'Data Gaps'!$A:$N,6,FALSE),0)))</f>
        <v>0</v>
      </c>
      <c r="Q31" s="1">
        <f>IF(N31="No Data","No Data",N31/(7-IF(N31&lt;7,VLOOKUP($A31,'Data Gaps'!$A:$N,7,FALSE),0)))</f>
        <v>0</v>
      </c>
      <c r="R31" s="1">
        <f>IF(O31="No Data","No Data",O31/(7-IF(O31&lt;7,VLOOKUP($A31,'Data Gaps'!$A:$N,8,FALSE),0)))</f>
        <v>0.58333333333333337</v>
      </c>
      <c r="S31" s="32">
        <f t="shared" si="3"/>
        <v>14.583333333333334</v>
      </c>
    </row>
    <row r="32" spans="1:19" x14ac:dyDescent="0.35">
      <c r="A32" s="1" t="s">
        <v>26</v>
      </c>
      <c r="B32" s="28" t="s">
        <v>27</v>
      </c>
      <c r="C32" s="1" t="s">
        <v>16</v>
      </c>
      <c r="D32" s="1" t="s">
        <v>17</v>
      </c>
      <c r="E32" s="29" t="s">
        <v>18</v>
      </c>
      <c r="F32" s="28" t="s">
        <v>159</v>
      </c>
      <c r="G32" s="28" t="str">
        <f>VLOOKUP($A32,'EBA2017'!$A:$G,7,FALSE)</f>
        <v>Two</v>
      </c>
      <c r="H32" s="32" t="str">
        <f>VLOOKUP($A32,Calculator!$A:$T,20,FALSE)</f>
        <v>N/A</v>
      </c>
      <c r="I32" s="28">
        <f t="shared" si="1"/>
        <v>0</v>
      </c>
      <c r="J32" s="1" t="str">
        <f>VLOOKUP($A32,Calculator!$A:$U,21,FALSE)</f>
        <v>N/A</v>
      </c>
      <c r="K32" s="28">
        <f t="shared" si="2"/>
        <v>0</v>
      </c>
      <c r="L32" s="1">
        <f t="shared" si="0"/>
        <v>0</v>
      </c>
      <c r="M32" s="32">
        <f>VLOOKUP($A32,Calculator!$A:$Z,17,FALSE)</f>
        <v>0</v>
      </c>
      <c r="N32" s="1">
        <f>VLOOKUP($A32,Calculator!$A:$Z,18,FALSE)</f>
        <v>3.5</v>
      </c>
      <c r="O32" s="1">
        <f>VLOOKUP($A32,Calculator!$A:$Z,19,FALSE)</f>
        <v>3</v>
      </c>
      <c r="P32" s="32">
        <f>IF(M32="No Data","No Data",M32/(7-IF(M32&lt;7,VLOOKUP($A32,'Data Gaps'!$A:$N,6,FALSE),0)))</f>
        <v>0</v>
      </c>
      <c r="Q32" s="1">
        <f>IF(N32="No Data","No Data",N32/(7-IF(N32&lt;7,VLOOKUP($A32,'Data Gaps'!$A:$N,7,FALSE),0)))</f>
        <v>0.5</v>
      </c>
      <c r="R32" s="1">
        <f>IF(O32="No Data","No Data",O32/(7-IF(O32&lt;7,VLOOKUP($A32,'Data Gaps'!$A:$N,8,FALSE),0)))</f>
        <v>0.42857142857142855</v>
      </c>
      <c r="S32" s="32">
        <f t="shared" si="3"/>
        <v>23.214285714285715</v>
      </c>
    </row>
    <row r="33" spans="1:19" x14ac:dyDescent="0.35">
      <c r="A33" s="1" t="s">
        <v>10</v>
      </c>
      <c r="B33" s="28" t="s">
        <v>11</v>
      </c>
      <c r="C33" s="1" t="s">
        <v>12</v>
      </c>
      <c r="D33" s="1" t="s">
        <v>13</v>
      </c>
      <c r="E33" s="29" t="s">
        <v>9</v>
      </c>
      <c r="F33" s="28" t="s">
        <v>159</v>
      </c>
      <c r="G33" s="28" t="str">
        <f>VLOOKUP($A33,'EBA2017'!$A:$G,7,FALSE)</f>
        <v>Two</v>
      </c>
      <c r="H33" s="32">
        <f>VLOOKUP($A33,Calculator!$A:$T,20,FALSE)</f>
        <v>945</v>
      </c>
      <c r="I33" s="28">
        <f t="shared" si="1"/>
        <v>9.5440084835626184E-3</v>
      </c>
      <c r="J33" s="1">
        <f>VLOOKUP($A33,Calculator!$A:$U,21,FALSE)</f>
        <v>58.761479511133373</v>
      </c>
      <c r="K33" s="28">
        <f t="shared" si="2"/>
        <v>0.93052332434371965</v>
      </c>
      <c r="L33" s="1">
        <f t="shared" si="0"/>
        <v>0.47003366641364114</v>
      </c>
      <c r="M33" s="32">
        <f>VLOOKUP($A33,Calculator!$A:$Z,17,FALSE)</f>
        <v>4.4000000000000004</v>
      </c>
      <c r="N33" s="1">
        <f>VLOOKUP($A33,Calculator!$A:$Z,18,FALSE)</f>
        <v>4.5000000000000009</v>
      </c>
      <c r="O33" s="1">
        <f>VLOOKUP($A33,Calculator!$A:$Z,19,FALSE)</f>
        <v>3</v>
      </c>
      <c r="P33" s="32">
        <f>IF(M33="No Data","No Data",M33/(7-IF(M33&lt;7,VLOOKUP($A33,'Data Gaps'!$A:$N,6,FALSE),0)))</f>
        <v>0.62857142857142867</v>
      </c>
      <c r="Q33" s="1">
        <f>IF(N33="No Data","No Data",N33/(7-IF(N33&lt;7,VLOOKUP($A33,'Data Gaps'!$A:$N,7,FALSE),0)))</f>
        <v>0.64285714285714302</v>
      </c>
      <c r="R33" s="1">
        <f>IF(O33="No Data","No Data",O33/(7-IF(O33&lt;7,VLOOKUP($A33,'Data Gaps'!$A:$N,8,FALSE),0)))</f>
        <v>0.42857142857142855</v>
      </c>
      <c r="S33" s="32">
        <f t="shared" si="3"/>
        <v>54.250841660341031</v>
      </c>
    </row>
    <row r="34" spans="1:19" x14ac:dyDescent="0.35">
      <c r="A34" s="1" t="s">
        <v>19</v>
      </c>
      <c r="B34" s="28" t="s">
        <v>20</v>
      </c>
      <c r="C34" s="1" t="s">
        <v>21</v>
      </c>
      <c r="D34" s="1" t="s">
        <v>22</v>
      </c>
      <c r="E34" s="29" t="s">
        <v>9</v>
      </c>
      <c r="F34" s="28" t="s">
        <v>162</v>
      </c>
      <c r="G34" s="28" t="str">
        <f>VLOOKUP($A34,'EBA2017'!$A:$G,7,FALSE)</f>
        <v>Two</v>
      </c>
      <c r="H34" s="32" t="str">
        <f>VLOOKUP($A34,Calculator!$A:$T,20,FALSE)</f>
        <v>N/A</v>
      </c>
      <c r="I34" s="28">
        <f t="shared" si="1"/>
        <v>0</v>
      </c>
      <c r="J34" s="1" t="str">
        <f>VLOOKUP($A34,Calculator!$A:$U,21,FALSE)</f>
        <v>N/A</v>
      </c>
      <c r="K34" s="28">
        <f t="shared" si="2"/>
        <v>0</v>
      </c>
      <c r="L34" s="1">
        <f t="shared" si="0"/>
        <v>0</v>
      </c>
      <c r="M34" s="32">
        <f>VLOOKUP($A34,Calculator!$A:$Z,17,FALSE)</f>
        <v>1</v>
      </c>
      <c r="N34" s="1">
        <f>VLOOKUP($A34,Calculator!$A:$Z,18,FALSE)</f>
        <v>7</v>
      </c>
      <c r="O34" s="1">
        <f>VLOOKUP($A34,Calculator!$A:$Z,19,FALSE)</f>
        <v>3</v>
      </c>
      <c r="P34" s="32">
        <f>IF(M34="No Data","No Data",M34/(7-IF(M34&lt;7,VLOOKUP($A34,'Data Gaps'!$A:$N,6,FALSE),0)))</f>
        <v>0.14285714285714285</v>
      </c>
      <c r="Q34" s="1">
        <f>IF(N34="No Data","No Data",N34/(7-IF(N34&lt;7,VLOOKUP($A34,'Data Gaps'!$A:$N,7,FALSE),0)))</f>
        <v>1</v>
      </c>
      <c r="R34" s="1">
        <f>IF(O34="No Data","No Data",O34/(7-IF(O34&lt;7,VLOOKUP($A34,'Data Gaps'!$A:$N,8,FALSE),0)))</f>
        <v>0.42857142857142855</v>
      </c>
      <c r="S34" s="32">
        <f t="shared" si="3"/>
        <v>39.285714285714285</v>
      </c>
    </row>
    <row r="35" spans="1:19" x14ac:dyDescent="0.35">
      <c r="A35" s="1" t="s">
        <v>43</v>
      </c>
      <c r="B35" s="28" t="s">
        <v>44</v>
      </c>
      <c r="C35" s="1" t="s">
        <v>16</v>
      </c>
      <c r="D35" s="1" t="s">
        <v>17</v>
      </c>
      <c r="E35" s="29" t="s">
        <v>9</v>
      </c>
      <c r="F35" s="28" t="s">
        <v>160</v>
      </c>
      <c r="G35" s="28" t="str">
        <f>VLOOKUP($A35,'EBA2017'!$A:$G,7,FALSE)</f>
        <v>Two</v>
      </c>
      <c r="H35" s="32" t="str">
        <f>VLOOKUP($A35,Calculator!$A:$T,20,FALSE)</f>
        <v>N/A</v>
      </c>
      <c r="I35" s="28">
        <f t="shared" si="1"/>
        <v>0</v>
      </c>
      <c r="J35" s="1" t="str">
        <f>VLOOKUP($A35,Calculator!$A:$U,21,FALSE)</f>
        <v>N/A</v>
      </c>
      <c r="K35" s="28">
        <f t="shared" si="2"/>
        <v>0</v>
      </c>
      <c r="L35" s="1">
        <f t="shared" si="0"/>
        <v>0</v>
      </c>
      <c r="M35" s="32">
        <f>VLOOKUP($A35,Calculator!$A:$Z,17,FALSE)</f>
        <v>0</v>
      </c>
      <c r="N35" s="1">
        <f>VLOOKUP($A35,Calculator!$A:$Z,18,FALSE)</f>
        <v>5</v>
      </c>
      <c r="O35" s="1">
        <f>VLOOKUP($A35,Calculator!$A:$Z,19,FALSE)</f>
        <v>6</v>
      </c>
      <c r="P35" s="32">
        <f>IF(M35="No Data","No Data",M35/(7-IF(M35&lt;7,VLOOKUP($A35,'Data Gaps'!$A:$N,6,FALSE),0)))</f>
        <v>0</v>
      </c>
      <c r="Q35" s="1">
        <f>IF(N35="No Data","No Data",N35/(7-IF(N35&lt;7,VLOOKUP($A35,'Data Gaps'!$A:$N,7,FALSE),0)))</f>
        <v>0.7142857142857143</v>
      </c>
      <c r="R35" s="1">
        <f>IF(O35="No Data","No Data",O35/(7-IF(O35&lt;7,VLOOKUP($A35,'Data Gaps'!$A:$N,8,FALSE),0)))</f>
        <v>0.8571428571428571</v>
      </c>
      <c r="S35" s="32">
        <f t="shared" si="3"/>
        <v>39.285714285714285</v>
      </c>
    </row>
    <row r="36" spans="1:19" x14ac:dyDescent="0.35">
      <c r="A36" s="1" t="s">
        <v>34</v>
      </c>
      <c r="B36" s="28" t="s">
        <v>35</v>
      </c>
      <c r="C36" s="1" t="s">
        <v>16</v>
      </c>
      <c r="D36" s="1" t="s">
        <v>17</v>
      </c>
      <c r="E36" s="29" t="s">
        <v>9</v>
      </c>
      <c r="F36" s="28" t="s">
        <v>160</v>
      </c>
      <c r="G36" s="28" t="str">
        <f>VLOOKUP($A36,'EBA2017'!$A:$G,7,FALSE)</f>
        <v>Two</v>
      </c>
      <c r="H36" s="32" t="str">
        <f>VLOOKUP($A36,Calculator!$A:$T,20,FALSE)</f>
        <v>N/A</v>
      </c>
      <c r="I36" s="28">
        <f t="shared" si="1"/>
        <v>0</v>
      </c>
      <c r="J36" s="1" t="str">
        <f>VLOOKUP($A36,Calculator!$A:$U,21,FALSE)</f>
        <v>N/A</v>
      </c>
      <c r="K36" s="28">
        <f t="shared" si="2"/>
        <v>0</v>
      </c>
      <c r="L36" s="1">
        <f t="shared" si="0"/>
        <v>0</v>
      </c>
      <c r="M36" s="32">
        <f>VLOOKUP($A36,Calculator!$A:$Z,17,FALSE)</f>
        <v>0</v>
      </c>
      <c r="N36" s="1">
        <f>VLOOKUP($A36,Calculator!$A:$Z,18,FALSE)</f>
        <v>3.5</v>
      </c>
      <c r="O36" s="1">
        <f>VLOOKUP($A36,Calculator!$A:$Z,19,FALSE)</f>
        <v>6</v>
      </c>
      <c r="P36" s="32">
        <f>IF(M36="No Data","No Data",M36/(7-IF(M36&lt;7,VLOOKUP($A36,'Data Gaps'!$A:$N,6,FALSE),0)))</f>
        <v>0</v>
      </c>
      <c r="Q36" s="1">
        <f>IF(N36="No Data","No Data",N36/(7-IF(N36&lt;7,VLOOKUP($A36,'Data Gaps'!$A:$N,7,FALSE),0)))</f>
        <v>0.5</v>
      </c>
      <c r="R36" s="1">
        <f>IF(O36="No Data","No Data",O36/(7-IF(O36&lt;7,VLOOKUP($A36,'Data Gaps'!$A:$N,8,FALSE),0)))</f>
        <v>1</v>
      </c>
      <c r="S36" s="32">
        <f t="shared" si="3"/>
        <v>37.5</v>
      </c>
    </row>
    <row r="37" spans="1:19" x14ac:dyDescent="0.35">
      <c r="A37" s="1" t="s">
        <v>41</v>
      </c>
      <c r="B37" s="28" t="s">
        <v>42</v>
      </c>
      <c r="C37" s="1" t="s">
        <v>21</v>
      </c>
      <c r="D37" s="1" t="s">
        <v>22</v>
      </c>
      <c r="E37" s="29" t="s">
        <v>25</v>
      </c>
      <c r="F37" s="28" t="s">
        <v>160</v>
      </c>
      <c r="G37" s="28" t="str">
        <f>VLOOKUP($A37,'EBA2017'!$A:$G,7,FALSE)</f>
        <v>Two</v>
      </c>
      <c r="H37" s="32">
        <f>VLOOKUP($A37,Calculator!$A:$T,20,FALSE)</f>
        <v>45</v>
      </c>
      <c r="I37" s="28">
        <f t="shared" si="1"/>
        <v>0.96394485683987274</v>
      </c>
      <c r="J37" s="1">
        <f>VLOOKUP($A37,Calculator!$A:$U,21,FALSE)</f>
        <v>7.8348733533794253</v>
      </c>
      <c r="K37" s="28">
        <f t="shared" si="2"/>
        <v>0.99073643210978646</v>
      </c>
      <c r="L37" s="1">
        <f t="shared" ref="L37:L66" si="4">AVERAGE(I37,K37)</f>
        <v>0.9773406444748296</v>
      </c>
      <c r="M37" s="32">
        <f>VLOOKUP($A37,Calculator!$A:$Z,17,FALSE)</f>
        <v>6</v>
      </c>
      <c r="N37" s="1">
        <f>VLOOKUP($A37,Calculator!$A:$Z,18,FALSE)</f>
        <v>6</v>
      </c>
      <c r="O37" s="1">
        <f>VLOOKUP($A37,Calculator!$A:$Z,19,FALSE)</f>
        <v>4</v>
      </c>
      <c r="P37" s="32">
        <f>IF(M37="No Data","No Data",M37/(7-IF(M37&lt;7,VLOOKUP($A37,'Data Gaps'!$A:$N,6,FALSE),0)))</f>
        <v>0.8571428571428571</v>
      </c>
      <c r="Q37" s="1">
        <f>IF(N37="No Data","No Data",N37/(7-IF(N37&lt;7,VLOOKUP($A37,'Data Gaps'!$A:$N,7,FALSE),0)))</f>
        <v>0.8571428571428571</v>
      </c>
      <c r="R37" s="1">
        <f>IF(O37="No Data","No Data",O37/(7-IF(O37&lt;7,VLOOKUP($A37,'Data Gaps'!$A:$N,8,FALSE),0)))</f>
        <v>0.5714285714285714</v>
      </c>
      <c r="S37" s="32">
        <f t="shared" si="3"/>
        <v>81.576373254727883</v>
      </c>
    </row>
    <row r="38" spans="1:19" x14ac:dyDescent="0.35">
      <c r="A38" s="1" t="s">
        <v>47</v>
      </c>
      <c r="B38" s="28" t="s">
        <v>48</v>
      </c>
      <c r="C38" s="1" t="s">
        <v>49</v>
      </c>
      <c r="D38" s="1" t="s">
        <v>50</v>
      </c>
      <c r="E38" s="29" t="s">
        <v>9</v>
      </c>
      <c r="F38" s="28" t="s">
        <v>159</v>
      </c>
      <c r="G38" s="28" t="str">
        <f>VLOOKUP($A38,'EBA2017'!$A:$G,7,FALSE)</f>
        <v>Two</v>
      </c>
      <c r="H38" s="32">
        <f>VLOOKUP($A38,Calculator!$A:$T,20,FALSE)</f>
        <v>314</v>
      </c>
      <c r="I38" s="28">
        <f t="shared" si="1"/>
        <v>0.67868504772004223</v>
      </c>
      <c r="J38" s="1">
        <f>VLOOKUP($A38,Calculator!$A:$U,21,FALSE)</f>
        <v>19.772693811284348</v>
      </c>
      <c r="K38" s="28">
        <f t="shared" si="2"/>
        <v>0.97662174189270934</v>
      </c>
      <c r="L38" s="1">
        <f t="shared" si="4"/>
        <v>0.82765339480637579</v>
      </c>
      <c r="M38" s="32">
        <f>VLOOKUP($A38,Calculator!$A:$Z,17,FALSE)</f>
        <v>4.4000000000000004</v>
      </c>
      <c r="N38" s="1">
        <f>VLOOKUP($A38,Calculator!$A:$Z,18,FALSE)</f>
        <v>1.5</v>
      </c>
      <c r="O38" s="1">
        <f>VLOOKUP($A38,Calculator!$A:$Z,19,FALSE)</f>
        <v>3</v>
      </c>
      <c r="P38" s="32">
        <f>IF(M38="No Data","No Data",M38/(7-IF(M38&lt;7,VLOOKUP($A38,'Data Gaps'!$A:$N,6,FALSE),0)))</f>
        <v>0.62857142857142867</v>
      </c>
      <c r="Q38" s="1">
        <f>IF(N38="No Data","No Data",N38/(7-IF(N38&lt;7,VLOOKUP($A38,'Data Gaps'!$A:$N,7,FALSE),0)))</f>
        <v>0.21428571428571427</v>
      </c>
      <c r="R38" s="1">
        <f>IF(O38="No Data","No Data",O38/(7-IF(O38&lt;7,VLOOKUP($A38,'Data Gaps'!$A:$N,8,FALSE),0)))</f>
        <v>0.6</v>
      </c>
      <c r="S38" s="32">
        <f t="shared" si="3"/>
        <v>56.762763441587957</v>
      </c>
    </row>
    <row r="39" spans="1:19" x14ac:dyDescent="0.35">
      <c r="A39" s="1" t="s">
        <v>51</v>
      </c>
      <c r="B39" s="28" t="s">
        <v>52</v>
      </c>
      <c r="C39" s="1" t="s">
        <v>16</v>
      </c>
      <c r="D39" s="1" t="s">
        <v>17</v>
      </c>
      <c r="E39" s="29" t="s">
        <v>18</v>
      </c>
      <c r="F39" s="28" t="s">
        <v>160</v>
      </c>
      <c r="G39" s="28" t="str">
        <f>VLOOKUP($A39,'EBA2017'!$A:$G,7,FALSE)</f>
        <v>Two</v>
      </c>
      <c r="H39" s="32" t="str">
        <f>VLOOKUP($A39,Calculator!$A:$T,20,FALSE)</f>
        <v>N/A</v>
      </c>
      <c r="I39" s="28">
        <f t="shared" si="1"/>
        <v>0</v>
      </c>
      <c r="J39" s="1" t="str">
        <f>VLOOKUP($A39,Calculator!$A:$U,21,FALSE)</f>
        <v>N/A</v>
      </c>
      <c r="K39" s="28">
        <f t="shared" si="2"/>
        <v>0</v>
      </c>
      <c r="L39" s="1">
        <f t="shared" si="4"/>
        <v>0</v>
      </c>
      <c r="M39" s="32">
        <f>VLOOKUP($A39,Calculator!$A:$Z,17,FALSE)</f>
        <v>1</v>
      </c>
      <c r="N39" s="1">
        <f>VLOOKUP($A39,Calculator!$A:$Z,18,FALSE)</f>
        <v>4.5000000000000009</v>
      </c>
      <c r="O39" s="1">
        <f>VLOOKUP($A39,Calculator!$A:$Z,19,FALSE)</f>
        <v>0</v>
      </c>
      <c r="P39" s="32">
        <f>IF(M39="No Data","No Data",M39/(7-IF(M39&lt;7,VLOOKUP($A39,'Data Gaps'!$A:$N,6,FALSE),0)))</f>
        <v>0.14285714285714285</v>
      </c>
      <c r="Q39" s="1">
        <f>IF(N39="No Data","No Data",N39/(7-IF(N39&lt;7,VLOOKUP($A39,'Data Gaps'!$A:$N,7,FALSE),0)))</f>
        <v>0.64285714285714302</v>
      </c>
      <c r="R39" s="1">
        <f>IF(O39="No Data","No Data",O39/(7-IF(O39&lt;7,VLOOKUP($A39,'Data Gaps'!$A:$N,8,FALSE),0)))</f>
        <v>0</v>
      </c>
      <c r="S39" s="32">
        <f t="shared" si="3"/>
        <v>19.642857142857146</v>
      </c>
    </row>
    <row r="40" spans="1:19" x14ac:dyDescent="0.35">
      <c r="A40" s="1" t="s">
        <v>55</v>
      </c>
      <c r="B40" s="28" t="s">
        <v>56</v>
      </c>
      <c r="C40" s="1" t="s">
        <v>16</v>
      </c>
      <c r="D40" s="1" t="s">
        <v>17</v>
      </c>
      <c r="E40" s="29" t="s">
        <v>9</v>
      </c>
      <c r="F40" s="28" t="s">
        <v>160</v>
      </c>
      <c r="G40" s="28" t="str">
        <f>VLOOKUP($A40,'EBA2017'!$A:$G,7,FALSE)</f>
        <v>Two</v>
      </c>
      <c r="H40" s="32">
        <f>VLOOKUP($A40,Calculator!$A:$T,20,FALSE)</f>
        <v>231</v>
      </c>
      <c r="I40" s="28">
        <f t="shared" si="1"/>
        <v>0.76670201484623535</v>
      </c>
      <c r="J40" s="1">
        <f>VLOOKUP($A40,Calculator!$A:$U,21,FALSE)</f>
        <v>377.01310058925463</v>
      </c>
      <c r="K40" s="28">
        <f t="shared" si="2"/>
        <v>0.55423830159270571</v>
      </c>
      <c r="L40" s="1">
        <f t="shared" si="4"/>
        <v>0.66047015821947053</v>
      </c>
      <c r="M40" s="32">
        <f>VLOOKUP($A40,Calculator!$A:$Z,17,FALSE)</f>
        <v>3.4</v>
      </c>
      <c r="N40" s="1">
        <f>VLOOKUP($A40,Calculator!$A:$Z,18,FALSE)</f>
        <v>5</v>
      </c>
      <c r="O40" s="1">
        <f>VLOOKUP($A40,Calculator!$A:$Z,19,FALSE)</f>
        <v>2.5</v>
      </c>
      <c r="P40" s="32">
        <f>IF(M40="No Data","No Data",M40/(7-IF(M40&lt;7,VLOOKUP($A40,'Data Gaps'!$A:$N,6,FALSE),0)))</f>
        <v>0.48571428571428571</v>
      </c>
      <c r="Q40" s="1">
        <f>IF(N40="No Data","No Data",N40/(7-IF(N40&lt;7,VLOOKUP($A40,'Data Gaps'!$A:$N,7,FALSE),0)))</f>
        <v>0.7142857142857143</v>
      </c>
      <c r="R40" s="1">
        <f>IF(O40="No Data","No Data",O40/(7-IF(O40&lt;7,VLOOKUP($A40,'Data Gaps'!$A:$N,8,FALSE),0)))</f>
        <v>0.35714285714285715</v>
      </c>
      <c r="S40" s="32">
        <f t="shared" si="3"/>
        <v>55.440325384058198</v>
      </c>
    </row>
    <row r="41" spans="1:19" x14ac:dyDescent="0.35">
      <c r="A41" s="1" t="s">
        <v>59</v>
      </c>
      <c r="B41" s="28" t="s">
        <v>60</v>
      </c>
      <c r="C41" s="1" t="s">
        <v>21</v>
      </c>
      <c r="D41" s="1" t="s">
        <v>22</v>
      </c>
      <c r="E41" s="28" t="s">
        <v>9</v>
      </c>
      <c r="F41" s="28" t="s">
        <v>159</v>
      </c>
      <c r="G41" s="28" t="str">
        <f>VLOOKUP($A41,'EBA2017'!$A:$G,7,FALSE)</f>
        <v>Two</v>
      </c>
      <c r="H41" s="32">
        <f>VLOOKUP($A41,Calculator!$A:$T,20,FALSE)</f>
        <v>113</v>
      </c>
      <c r="I41" s="28">
        <f t="shared" si="1"/>
        <v>0.89183457051961823</v>
      </c>
      <c r="J41" s="1">
        <f>VLOOKUP($A41,Calculator!$A:$U,21,FALSE)</f>
        <v>1.2011094655384913</v>
      </c>
      <c r="K41" s="28">
        <f t="shared" si="2"/>
        <v>0.99857986739852089</v>
      </c>
      <c r="L41" s="1">
        <f t="shared" si="4"/>
        <v>0.94520721895906956</v>
      </c>
      <c r="M41" s="32">
        <f>VLOOKUP($A41,Calculator!$A:$Z,17,FALSE)</f>
        <v>4.8</v>
      </c>
      <c r="N41" s="1">
        <f>VLOOKUP($A41,Calculator!$A:$Z,18,FALSE)</f>
        <v>7</v>
      </c>
      <c r="O41" s="1">
        <f>VLOOKUP($A41,Calculator!$A:$Z,19,FALSE)</f>
        <v>3.5</v>
      </c>
      <c r="P41" s="32">
        <f>IF(M41="No Data","No Data",M41/(7-IF(M41&lt;7,VLOOKUP($A41,'Data Gaps'!$A:$N,6,FALSE),0)))</f>
        <v>0.68571428571428572</v>
      </c>
      <c r="Q41" s="1">
        <f>IF(N41="No Data","No Data",N41/(7-IF(N41&lt;7,VLOOKUP($A41,'Data Gaps'!$A:$N,7,FALSE),0)))</f>
        <v>1</v>
      </c>
      <c r="R41" s="1">
        <f>IF(O41="No Data","No Data",O41/(7-IF(O41&lt;7,VLOOKUP($A41,'Data Gaps'!$A:$N,8,FALSE),0)))</f>
        <v>0.58333333333333337</v>
      </c>
      <c r="S41" s="32">
        <f t="shared" si="3"/>
        <v>80.356370950167218</v>
      </c>
    </row>
    <row r="42" spans="1:19" x14ac:dyDescent="0.35">
      <c r="A42" s="1" t="s">
        <v>61</v>
      </c>
      <c r="B42" s="28" t="s">
        <v>62</v>
      </c>
      <c r="C42" s="1" t="s">
        <v>21</v>
      </c>
      <c r="D42" s="1" t="s">
        <v>22</v>
      </c>
      <c r="E42" s="28" t="s">
        <v>18</v>
      </c>
      <c r="F42" s="28" t="s">
        <v>159</v>
      </c>
      <c r="G42" s="28" t="str">
        <f>VLOOKUP($A42,'EBA2017'!$A:$G,7,FALSE)</f>
        <v>Two</v>
      </c>
      <c r="H42" s="32" t="str">
        <f>VLOOKUP($A42,Calculator!$A:$T,20,FALSE)</f>
        <v>N/A</v>
      </c>
      <c r="I42" s="28">
        <f t="shared" si="1"/>
        <v>0</v>
      </c>
      <c r="J42" s="1" t="str">
        <f>VLOOKUP($A42,Calculator!$A:$U,21,FALSE)</f>
        <v>N/A</v>
      </c>
      <c r="K42" s="28">
        <f t="shared" si="2"/>
        <v>0</v>
      </c>
      <c r="L42" s="1">
        <f t="shared" si="4"/>
        <v>0</v>
      </c>
      <c r="M42" s="32">
        <f>VLOOKUP($A42,Calculator!$A:$Z,17,FALSE)</f>
        <v>0</v>
      </c>
      <c r="N42" s="1">
        <f>VLOOKUP($A42,Calculator!$A:$Z,18,FALSE)</f>
        <v>0</v>
      </c>
      <c r="O42" s="1">
        <f>VLOOKUP($A42,Calculator!$A:$Z,19,FALSE)</f>
        <v>6</v>
      </c>
      <c r="P42" s="32">
        <f>IF(M42="No Data","No Data",M42/(7-IF(M42&lt;7,VLOOKUP($A42,'Data Gaps'!$A:$N,6,FALSE),0)))</f>
        <v>0</v>
      </c>
      <c r="Q42" s="1">
        <f>IF(N42="No Data","No Data",N42/(7-IF(N42&lt;7,VLOOKUP($A42,'Data Gaps'!$A:$N,7,FALSE),0)))</f>
        <v>0</v>
      </c>
      <c r="R42" s="1">
        <f>IF(O42="No Data","No Data",O42/(7-IF(O42&lt;7,VLOOKUP($A42,'Data Gaps'!$A:$N,8,FALSE),0)))</f>
        <v>0.8571428571428571</v>
      </c>
      <c r="S42" s="32">
        <f t="shared" si="3"/>
        <v>21.428571428571427</v>
      </c>
    </row>
    <row r="43" spans="1:19" x14ac:dyDescent="0.35">
      <c r="A43" s="1" t="s">
        <v>63</v>
      </c>
      <c r="B43" s="28" t="s">
        <v>146</v>
      </c>
      <c r="C43" s="1" t="s">
        <v>12</v>
      </c>
      <c r="D43" s="1" t="s">
        <v>13</v>
      </c>
      <c r="E43" s="28" t="s">
        <v>9</v>
      </c>
      <c r="F43" s="28" t="s">
        <v>162</v>
      </c>
      <c r="G43" s="28" t="str">
        <f>VLOOKUP($A43,'EBA2017'!$A:$G,7,FALSE)</f>
        <v>Two</v>
      </c>
      <c r="H43" s="32">
        <f>VLOOKUP($A43,Calculator!$A:$T,20,FALSE)</f>
        <v>804</v>
      </c>
      <c r="I43" s="28">
        <f t="shared" si="1"/>
        <v>0.15906680805938453</v>
      </c>
      <c r="J43" s="1">
        <f>VLOOKUP($A43,Calculator!$A:$U,21,FALSE)</f>
        <v>17.108291157509154</v>
      </c>
      <c r="K43" s="28">
        <f t="shared" si="2"/>
        <v>0.97977200020026278</v>
      </c>
      <c r="L43" s="1">
        <f t="shared" si="4"/>
        <v>0.56941940412982361</v>
      </c>
      <c r="M43" s="32">
        <f>VLOOKUP($A43,Calculator!$A:$Z,17,FALSE)</f>
        <v>5</v>
      </c>
      <c r="N43" s="1">
        <f>VLOOKUP($A43,Calculator!$A:$Z,18,FALSE)</f>
        <v>3.5</v>
      </c>
      <c r="O43" s="1">
        <f>VLOOKUP($A43,Calculator!$A:$Z,19,FALSE)</f>
        <v>7</v>
      </c>
      <c r="P43" s="32">
        <f>IF(M43="No Data","No Data",M43/(7-IF(M43&lt;7,VLOOKUP($A43,'Data Gaps'!$A:$N,6,FALSE),0)))</f>
        <v>0.7142857142857143</v>
      </c>
      <c r="Q43" s="1">
        <f>IF(N43="No Data","No Data",N43/(7-IF(N43&lt;7,VLOOKUP($A43,'Data Gaps'!$A:$N,7,FALSE),0)))</f>
        <v>0.5</v>
      </c>
      <c r="R43" s="1">
        <f>IF(O43="No Data","No Data",O43/(7-IF(O43&lt;7,VLOOKUP($A43,'Data Gaps'!$A:$N,8,FALSE),0)))</f>
        <v>1</v>
      </c>
      <c r="S43" s="32">
        <f t="shared" si="3"/>
        <v>69.592627960388455</v>
      </c>
    </row>
    <row r="44" spans="1:19" x14ac:dyDescent="0.35">
      <c r="A44" s="1" t="s">
        <v>66</v>
      </c>
      <c r="B44" s="28" t="s">
        <v>67</v>
      </c>
      <c r="C44" s="1" t="s">
        <v>49</v>
      </c>
      <c r="D44" s="1" t="s">
        <v>50</v>
      </c>
      <c r="E44" s="28" t="s">
        <v>25</v>
      </c>
      <c r="F44" s="28" t="s">
        <v>161</v>
      </c>
      <c r="G44" s="28" t="str">
        <f>VLOOKUP($A44,'EBA2017'!$A:$G,7,FALSE)</f>
        <v>Two</v>
      </c>
      <c r="H44" s="32">
        <f>VLOOKUP($A44,Calculator!$A:$T,20,FALSE)</f>
        <v>45</v>
      </c>
      <c r="I44" s="28">
        <f t="shared" si="1"/>
        <v>0.96394485683987274</v>
      </c>
      <c r="J44" s="1">
        <f>VLOOKUP($A44,Calculator!$A:$U,21,FALSE)</f>
        <v>0.86651230856263894</v>
      </c>
      <c r="K44" s="28">
        <f t="shared" si="2"/>
        <v>0.99897547857686642</v>
      </c>
      <c r="L44" s="1">
        <f t="shared" si="4"/>
        <v>0.98146016770836964</v>
      </c>
      <c r="M44" s="32">
        <f>VLOOKUP($A44,Calculator!$A:$Z,17,FALSE)</f>
        <v>4.4000000000000004</v>
      </c>
      <c r="N44" s="1">
        <f>VLOOKUP($A44,Calculator!$A:$Z,18,FALSE)</f>
        <v>3.5</v>
      </c>
      <c r="O44" s="1">
        <f>VLOOKUP($A44,Calculator!$A:$Z,19,FALSE)</f>
        <v>5</v>
      </c>
      <c r="P44" s="32">
        <f>IF(M44="No Data","No Data",M44/(7-IF(M44&lt;7,VLOOKUP($A44,'Data Gaps'!$A:$N,6,FALSE),0)))</f>
        <v>0.62857142857142867</v>
      </c>
      <c r="Q44" s="1">
        <f>IF(N44="No Data","No Data",N44/(7-IF(N44&lt;7,VLOOKUP($A44,'Data Gaps'!$A:$N,7,FALSE),0)))</f>
        <v>0.5</v>
      </c>
      <c r="R44" s="1">
        <f>IF(O44="No Data","No Data",O44/(7-IF(O44&lt;7,VLOOKUP($A44,'Data Gaps'!$A:$N,8,FALSE),0)))</f>
        <v>0.7142857142857143</v>
      </c>
      <c r="S44" s="32">
        <f t="shared" si="3"/>
        <v>70.607932764137814</v>
      </c>
    </row>
    <row r="45" spans="1:19" x14ac:dyDescent="0.35">
      <c r="A45" s="1" t="s">
        <v>70</v>
      </c>
      <c r="B45" s="28" t="s">
        <v>71</v>
      </c>
      <c r="C45" s="1" t="s">
        <v>16</v>
      </c>
      <c r="D45" s="1" t="s">
        <v>17</v>
      </c>
      <c r="E45" s="28" t="s">
        <v>9</v>
      </c>
      <c r="F45" s="28" t="s">
        <v>160</v>
      </c>
      <c r="G45" s="28" t="str">
        <f>VLOOKUP($A45,'EBA2017'!$A:$G,7,FALSE)</f>
        <v>Two</v>
      </c>
      <c r="H45" s="32" t="str">
        <f>VLOOKUP($A45,Calculator!$A:$T,20,FALSE)</f>
        <v>N/A</v>
      </c>
      <c r="I45" s="28">
        <f t="shared" si="1"/>
        <v>0</v>
      </c>
      <c r="J45" s="1" t="str">
        <f>VLOOKUP($A45,Calculator!$A:$U,21,FALSE)</f>
        <v>N/A</v>
      </c>
      <c r="K45" s="28">
        <f t="shared" si="2"/>
        <v>0</v>
      </c>
      <c r="L45" s="1">
        <f t="shared" si="4"/>
        <v>0</v>
      </c>
      <c r="M45" s="32">
        <f>VLOOKUP($A45,Calculator!$A:$Z,17,FALSE)</f>
        <v>1.5</v>
      </c>
      <c r="N45" s="1">
        <f>VLOOKUP($A45,Calculator!$A:$Z,18,FALSE)</f>
        <v>4</v>
      </c>
      <c r="O45" s="1">
        <f>VLOOKUP($A45,Calculator!$A:$Z,19,FALSE)</f>
        <v>6</v>
      </c>
      <c r="P45" s="32">
        <f>IF(M45="No Data","No Data",M45/(7-IF(M45&lt;7,VLOOKUP($A45,'Data Gaps'!$A:$N,6,FALSE),0)))</f>
        <v>0.21428571428571427</v>
      </c>
      <c r="Q45" s="1">
        <f>IF(N45="No Data","No Data",N45/(7-IF(N45&lt;7,VLOOKUP($A45,'Data Gaps'!$A:$N,7,FALSE),0)))</f>
        <v>0.5714285714285714</v>
      </c>
      <c r="R45" s="1">
        <f>IF(O45="No Data","No Data",O45/(7-IF(O45&lt;7,VLOOKUP($A45,'Data Gaps'!$A:$N,8,FALSE),0)))</f>
        <v>0.8571428571428571</v>
      </c>
      <c r="S45" s="32">
        <f t="shared" si="3"/>
        <v>41.071428571428569</v>
      </c>
    </row>
    <row r="46" spans="1:19" x14ac:dyDescent="0.35">
      <c r="A46" s="1" t="s">
        <v>30</v>
      </c>
      <c r="B46" s="28" t="s">
        <v>31</v>
      </c>
      <c r="C46" s="1" t="s">
        <v>32</v>
      </c>
      <c r="D46" s="1" t="s">
        <v>33</v>
      </c>
      <c r="E46" s="29" t="s">
        <v>9</v>
      </c>
      <c r="F46" s="28" t="s">
        <v>162</v>
      </c>
      <c r="G46" s="28" t="str">
        <f>VLOOKUP($A46,'EBA2017'!$A:$G,7,FALSE)</f>
        <v>Two</v>
      </c>
      <c r="H46" s="32">
        <f>VLOOKUP($A46,Calculator!$A:$T,20,FALSE)</f>
        <v>152</v>
      </c>
      <c r="I46" s="28">
        <f t="shared" si="1"/>
        <v>0.85047720042417807</v>
      </c>
      <c r="J46" s="1">
        <f>VLOOKUP($A46,Calculator!$A:$U,21,FALSE)</f>
        <v>107.79800684624885</v>
      </c>
      <c r="K46" s="28">
        <f t="shared" si="2"/>
        <v>0.87254495257167042</v>
      </c>
      <c r="L46" s="1">
        <f t="shared" si="4"/>
        <v>0.86151107649792424</v>
      </c>
      <c r="M46" s="32">
        <f>VLOOKUP($A46,Calculator!$A:$Z,17,FALSE)</f>
        <v>3.4</v>
      </c>
      <c r="N46" s="1">
        <f>VLOOKUP($A46,Calculator!$A:$Z,18,FALSE)</f>
        <v>5</v>
      </c>
      <c r="O46" s="1">
        <f>VLOOKUP($A46,Calculator!$A:$Z,19,FALSE)</f>
        <v>4</v>
      </c>
      <c r="P46" s="32">
        <f>IF(M46="No Data","No Data",M46/(7-IF(M46&lt;7,VLOOKUP($A46,'Data Gaps'!$A:$N,6,FALSE),0)))</f>
        <v>0.48571428571428571</v>
      </c>
      <c r="Q46" s="1">
        <f>IF(N46="No Data","No Data",N46/(7-IF(N46&lt;7,VLOOKUP($A46,'Data Gaps'!$A:$N,7,FALSE),0)))</f>
        <v>0.7142857142857143</v>
      </c>
      <c r="R46" s="1">
        <f>IF(O46="No Data","No Data",O46/(7-IF(O46&lt;7,VLOOKUP($A46,'Data Gaps'!$A:$N,8,FALSE),0)))</f>
        <v>0.5714285714285714</v>
      </c>
      <c r="S46" s="32">
        <f t="shared" si="3"/>
        <v>65.823491198162401</v>
      </c>
    </row>
    <row r="47" spans="1:19" x14ac:dyDescent="0.35">
      <c r="A47" s="1" t="s">
        <v>76</v>
      </c>
      <c r="B47" s="28" t="s">
        <v>77</v>
      </c>
      <c r="C47" s="1" t="s">
        <v>32</v>
      </c>
      <c r="D47" s="1" t="s">
        <v>33</v>
      </c>
      <c r="E47" s="28" t="s">
        <v>9</v>
      </c>
      <c r="F47" s="28" t="s">
        <v>160</v>
      </c>
      <c r="G47" s="28" t="str">
        <f>VLOOKUP($A47,'EBA2017'!$A:$G,7,FALSE)</f>
        <v>Two</v>
      </c>
      <c r="H47" s="32" t="str">
        <f>VLOOKUP($A47,Calculator!$A:$T,20,FALSE)</f>
        <v>No data</v>
      </c>
      <c r="I47" s="28" t="str">
        <f t="shared" si="1"/>
        <v>No data</v>
      </c>
      <c r="J47" s="1">
        <f>VLOOKUP($A47,Calculator!$A:$U,21,FALSE)</f>
        <v>0.4637894772542791</v>
      </c>
      <c r="K47" s="28">
        <f t="shared" si="2"/>
        <v>0.99945163819304639</v>
      </c>
      <c r="L47" s="1">
        <f t="shared" si="4"/>
        <v>0.99945163819304639</v>
      </c>
      <c r="M47" s="32">
        <f>VLOOKUP($A47,Calculator!$A:$Z,17,FALSE)</f>
        <v>3.4</v>
      </c>
      <c r="N47" s="1">
        <f>VLOOKUP($A47,Calculator!$A:$Z,18,FALSE)</f>
        <v>5</v>
      </c>
      <c r="O47" s="1">
        <f>VLOOKUP($A47,Calculator!$A:$Z,19,FALSE)</f>
        <v>3</v>
      </c>
      <c r="P47" s="32">
        <f>IF(M47="No Data","No Data",M47/(7-IF(M47&lt;7,VLOOKUP($A47,'Data Gaps'!$A:$N,6,FALSE),0)))</f>
        <v>0.48571428571428571</v>
      </c>
      <c r="Q47" s="1">
        <f>IF(N47="No Data","No Data",N47/(7-IF(N47&lt;7,VLOOKUP($A47,'Data Gaps'!$A:$N,7,FALSE),0)))</f>
        <v>0.7142857142857143</v>
      </c>
      <c r="R47" s="1">
        <f>IF(O47="No Data","No Data",O47/(7-IF(O47&lt;7,VLOOKUP($A47,'Data Gaps'!$A:$N,8,FALSE),0)))</f>
        <v>0.42857142857142855</v>
      </c>
      <c r="S47" s="32">
        <f t="shared" si="3"/>
        <v>65.700576669111868</v>
      </c>
    </row>
    <row r="48" spans="1:19" x14ac:dyDescent="0.35">
      <c r="A48" s="1" t="s">
        <v>122</v>
      </c>
      <c r="B48" s="28" t="s">
        <v>123</v>
      </c>
      <c r="C48" s="1" t="s">
        <v>12</v>
      </c>
      <c r="D48" s="1" t="s">
        <v>13</v>
      </c>
      <c r="E48" s="29" t="s">
        <v>9</v>
      </c>
      <c r="F48" s="28" t="s">
        <v>160</v>
      </c>
      <c r="G48" s="28" t="str">
        <f>VLOOKUP($A48,'EBA2017'!$A:$G,7,FALSE)</f>
        <v>Two</v>
      </c>
      <c r="H48" s="32">
        <f>VLOOKUP($A48,Calculator!$A:$T,20,FALSE)</f>
        <v>365</v>
      </c>
      <c r="I48" s="28">
        <f t="shared" si="1"/>
        <v>0.62460233297985135</v>
      </c>
      <c r="J48" s="1">
        <f>VLOOKUP($A48,Calculator!$A:$U,21,FALSE)</f>
        <v>3.6897076801334965</v>
      </c>
      <c r="K48" s="28">
        <f t="shared" si="2"/>
        <v>0.99563747159037141</v>
      </c>
      <c r="L48" s="1">
        <f t="shared" si="4"/>
        <v>0.81011990228511133</v>
      </c>
      <c r="M48" s="32">
        <f>VLOOKUP($A48,Calculator!$A:$Z,17,FALSE)</f>
        <v>2.4</v>
      </c>
      <c r="N48" s="1">
        <f>VLOOKUP($A48,Calculator!$A:$Z,18,FALSE)</f>
        <v>3.5</v>
      </c>
      <c r="O48" s="1">
        <f>VLOOKUP($A48,Calculator!$A:$Z,19,FALSE)</f>
        <v>3.5</v>
      </c>
      <c r="P48" s="32">
        <f>IF(M48="No Data","No Data",M48/(7-IF(M48&lt;7,VLOOKUP($A48,'Data Gaps'!$A:$N,6,FALSE),0)))</f>
        <v>0.34285714285714286</v>
      </c>
      <c r="Q48" s="1">
        <f>IF(N48="No Data","No Data",N48/(7-IF(N48&lt;7,VLOOKUP($A48,'Data Gaps'!$A:$N,7,FALSE),0)))</f>
        <v>0.5</v>
      </c>
      <c r="R48" s="1">
        <f>IF(O48="No Data","No Data",O48/(7-IF(O48&lt;7,VLOOKUP($A48,'Data Gaps'!$A:$N,8,FALSE),0)))</f>
        <v>0.5</v>
      </c>
      <c r="S48" s="32">
        <f t="shared" si="3"/>
        <v>53.824426128556354</v>
      </c>
    </row>
    <row r="49" spans="1:19" x14ac:dyDescent="0.35">
      <c r="A49" s="1" t="s">
        <v>88</v>
      </c>
      <c r="B49" s="28" t="s">
        <v>89</v>
      </c>
      <c r="C49" s="1" t="s">
        <v>49</v>
      </c>
      <c r="D49" s="1" t="s">
        <v>50</v>
      </c>
      <c r="E49" s="28" t="s">
        <v>9</v>
      </c>
      <c r="F49" s="28" t="s">
        <v>161</v>
      </c>
      <c r="G49" s="28" t="str">
        <f>VLOOKUP($A49,'EBA2017'!$A:$G,7,FALSE)</f>
        <v>Two</v>
      </c>
      <c r="H49" s="32" t="str">
        <f>VLOOKUP($A49,Calculator!$A:$T,20,FALSE)</f>
        <v>N/A</v>
      </c>
      <c r="I49" s="28">
        <f t="shared" si="1"/>
        <v>0</v>
      </c>
      <c r="J49" s="1" t="str">
        <f>VLOOKUP($A49,Calculator!$A:$U,21,FALSE)</f>
        <v>N/A</v>
      </c>
      <c r="K49" s="28">
        <f t="shared" si="2"/>
        <v>0</v>
      </c>
      <c r="L49" s="1">
        <f t="shared" si="4"/>
        <v>0</v>
      </c>
      <c r="M49" s="32">
        <f>VLOOKUP($A49,Calculator!$A:$Z,17,FALSE)</f>
        <v>0</v>
      </c>
      <c r="N49" s="1">
        <f>VLOOKUP($A49,Calculator!$A:$Z,18,FALSE)</f>
        <v>5.5</v>
      </c>
      <c r="O49" s="1">
        <f>VLOOKUP($A49,Calculator!$A:$Z,19,FALSE)</f>
        <v>3.5</v>
      </c>
      <c r="P49" s="32">
        <f>IF(M49="No Data","No Data",M49/(7-IF(M49&lt;7,VLOOKUP($A49,'Data Gaps'!$A:$N,6,FALSE),0)))</f>
        <v>0</v>
      </c>
      <c r="Q49" s="1">
        <f>IF(N49="No Data","No Data",N49/(7-IF(N49&lt;7,VLOOKUP($A49,'Data Gaps'!$A:$N,7,FALSE),0)))</f>
        <v>0.7857142857142857</v>
      </c>
      <c r="R49" s="1">
        <f>IF(O49="No Data","No Data",O49/(7-IF(O49&lt;7,VLOOKUP($A49,'Data Gaps'!$A:$N,8,FALSE),0)))</f>
        <v>0.5</v>
      </c>
      <c r="S49" s="32">
        <f t="shared" si="3"/>
        <v>32.142857142857139</v>
      </c>
    </row>
    <row r="50" spans="1:19" x14ac:dyDescent="0.35">
      <c r="A50" s="1" t="s">
        <v>86</v>
      </c>
      <c r="B50" s="28" t="s">
        <v>87</v>
      </c>
      <c r="C50" s="1" t="s">
        <v>21</v>
      </c>
      <c r="D50" s="1" t="s">
        <v>22</v>
      </c>
      <c r="E50" s="28" t="s">
        <v>25</v>
      </c>
      <c r="F50" s="28" t="s">
        <v>161</v>
      </c>
      <c r="G50" s="28" t="str">
        <f>VLOOKUP($A50,'EBA2017'!$A:$G,7,FALSE)</f>
        <v>Two</v>
      </c>
      <c r="H50" s="32">
        <f>VLOOKUP($A50,Calculator!$A:$T,20,FALSE)</f>
        <v>765</v>
      </c>
      <c r="I50" s="28">
        <f t="shared" si="1"/>
        <v>0.20042417815482463</v>
      </c>
      <c r="J50" s="1">
        <f>VLOOKUP($A50,Calculator!$A:$U,21,FALSE)</f>
        <v>11.529061690333062</v>
      </c>
      <c r="K50" s="28">
        <f t="shared" si="2"/>
        <v>0.98636860599248943</v>
      </c>
      <c r="L50" s="1">
        <f t="shared" si="4"/>
        <v>0.59339639207365702</v>
      </c>
      <c r="M50" s="32">
        <f>VLOOKUP($A50,Calculator!$A:$Z,17,FALSE)</f>
        <v>6</v>
      </c>
      <c r="N50" s="1">
        <f>VLOOKUP($A50,Calculator!$A:$Z,18,FALSE)</f>
        <v>4</v>
      </c>
      <c r="O50" s="1">
        <f>VLOOKUP($A50,Calculator!$A:$Z,19,FALSE)</f>
        <v>4.5000000000000009</v>
      </c>
      <c r="P50" s="32">
        <f>IF(M50="No Data","No Data",M50/(7-IF(M50&lt;7,VLOOKUP($A50,'Data Gaps'!$A:$N,6,FALSE),0)))</f>
        <v>0.8571428571428571</v>
      </c>
      <c r="Q50" s="1">
        <f>IF(N50="No Data","No Data",N50/(7-IF(N50&lt;7,VLOOKUP($A50,'Data Gaps'!$A:$N,7,FALSE),0)))</f>
        <v>0.5714285714285714</v>
      </c>
      <c r="R50" s="1">
        <f>IF(O50="No Data","No Data",O50/(7-IF(O50&lt;7,VLOOKUP($A50,'Data Gaps'!$A:$N,8,FALSE),0)))</f>
        <v>0.64285714285714302</v>
      </c>
      <c r="S50" s="32">
        <f t="shared" si="3"/>
        <v>66.620624087555711</v>
      </c>
    </row>
    <row r="51" spans="1:19" x14ac:dyDescent="0.35">
      <c r="A51" s="1" t="s">
        <v>92</v>
      </c>
      <c r="B51" s="28" t="s">
        <v>93</v>
      </c>
      <c r="C51" s="1" t="s">
        <v>32</v>
      </c>
      <c r="D51" s="1" t="s">
        <v>33</v>
      </c>
      <c r="E51" s="28" t="s">
        <v>9</v>
      </c>
      <c r="F51" s="28" t="s">
        <v>161</v>
      </c>
      <c r="G51" s="28" t="str">
        <f>VLOOKUP($A51,'EBA2017'!$A:$G,7,FALSE)</f>
        <v>Two</v>
      </c>
      <c r="H51" s="32">
        <f>VLOOKUP($A51,Calculator!$A:$T,20,FALSE)</f>
        <v>41</v>
      </c>
      <c r="I51" s="28">
        <f t="shared" si="1"/>
        <v>0.96818663838812302</v>
      </c>
      <c r="J51" s="1">
        <f>VLOOKUP($A51,Calculator!$A:$U,21,FALSE)</f>
        <v>7.3159209882622909</v>
      </c>
      <c r="K51" s="28">
        <f t="shared" si="2"/>
        <v>0.99135001579508952</v>
      </c>
      <c r="L51" s="1">
        <f t="shared" si="4"/>
        <v>0.97976832709160622</v>
      </c>
      <c r="M51" s="32">
        <f>VLOOKUP($A51,Calculator!$A:$Z,17,FALSE)</f>
        <v>4.4000000000000004</v>
      </c>
      <c r="N51" s="1">
        <f>VLOOKUP($A51,Calculator!$A:$Z,18,FALSE)</f>
        <v>3</v>
      </c>
      <c r="O51" s="1">
        <f>VLOOKUP($A51,Calculator!$A:$Z,19,FALSE)</f>
        <v>3</v>
      </c>
      <c r="P51" s="32">
        <f>IF(M51="No Data","No Data",M51/(7-IF(M51&lt;7,VLOOKUP($A51,'Data Gaps'!$A:$N,6,FALSE),0)))</f>
        <v>0.62857142857142867</v>
      </c>
      <c r="Q51" s="1">
        <f>IF(N51="No Data","No Data",N51/(7-IF(N51&lt;7,VLOOKUP($A51,'Data Gaps'!$A:$N,7,FALSE),0)))</f>
        <v>0.42857142857142855</v>
      </c>
      <c r="R51" s="1">
        <f>IF(O51="No Data","No Data",O51/(7-IF(O51&lt;7,VLOOKUP($A51,'Data Gaps'!$A:$N,8,FALSE),0)))</f>
        <v>0.42857142857142855</v>
      </c>
      <c r="S51" s="32">
        <f t="shared" si="3"/>
        <v>61.637065320147286</v>
      </c>
    </row>
    <row r="52" spans="1:19" x14ac:dyDescent="0.35">
      <c r="A52" s="1" t="s">
        <v>90</v>
      </c>
      <c r="B52" s="28" t="s">
        <v>91</v>
      </c>
      <c r="C52" s="1" t="s">
        <v>16</v>
      </c>
      <c r="D52" s="1" t="s">
        <v>17</v>
      </c>
      <c r="E52" s="28" t="s">
        <v>18</v>
      </c>
      <c r="F52" s="28" t="s">
        <v>159</v>
      </c>
      <c r="G52" s="28" t="str">
        <f>VLOOKUP($A52,'EBA2017'!$A:$G,7,FALSE)</f>
        <v>Two</v>
      </c>
      <c r="H52" s="32" t="str">
        <f>VLOOKUP($A52,Calculator!$A:$T,20,FALSE)</f>
        <v>No practice</v>
      </c>
      <c r="I52" s="28">
        <f t="shared" si="1"/>
        <v>0</v>
      </c>
      <c r="J52" s="1" t="str">
        <f>VLOOKUP($A52,Calculator!$A:$U,21,FALSE)</f>
        <v>No practice</v>
      </c>
      <c r="K52" s="28">
        <f t="shared" si="2"/>
        <v>0</v>
      </c>
      <c r="L52" s="1">
        <f t="shared" si="4"/>
        <v>0</v>
      </c>
      <c r="M52" s="32">
        <f>VLOOKUP($A52,Calculator!$A:$Z,17,FALSE)</f>
        <v>3.4</v>
      </c>
      <c r="N52" s="1">
        <f>VLOOKUP($A52,Calculator!$A:$Z,18,FALSE)</f>
        <v>4</v>
      </c>
      <c r="O52" s="1">
        <f>VLOOKUP($A52,Calculator!$A:$Z,19,FALSE)</f>
        <v>3.5</v>
      </c>
      <c r="P52" s="32">
        <f>IF(M52="No Data","No Data",M52/(7-IF(M52&lt;7,VLOOKUP($A52,'Data Gaps'!$A:$N,6,FALSE),0)))</f>
        <v>0.48571428571428571</v>
      </c>
      <c r="Q52" s="1">
        <f>IF(N52="No Data","No Data",N52/(7-IF(N52&lt;7,VLOOKUP($A52,'Data Gaps'!$A:$N,7,FALSE),0)))</f>
        <v>0.5714285714285714</v>
      </c>
      <c r="R52" s="1">
        <f>IF(O52="No Data","No Data",O52/(7-IF(O52&lt;7,VLOOKUP($A52,'Data Gaps'!$A:$N,8,FALSE),0)))</f>
        <v>0.5</v>
      </c>
      <c r="S52" s="32">
        <f t="shared" si="3"/>
        <v>38.928571428571431</v>
      </c>
    </row>
    <row r="53" spans="1:19" x14ac:dyDescent="0.35">
      <c r="A53" s="1" t="s">
        <v>80</v>
      </c>
      <c r="B53" s="28" t="s">
        <v>81</v>
      </c>
      <c r="C53" s="1" t="s">
        <v>16</v>
      </c>
      <c r="D53" s="1" t="s">
        <v>17</v>
      </c>
      <c r="E53" s="28" t="s">
        <v>18</v>
      </c>
      <c r="F53" s="28" t="s">
        <v>160</v>
      </c>
      <c r="G53" s="28" t="str">
        <f>VLOOKUP($A53,'EBA2017'!$A:$G,7,FALSE)</f>
        <v>Two</v>
      </c>
      <c r="H53" s="32">
        <f>VLOOKUP($A53,Calculator!$A:$T,20,FALSE)</f>
        <v>913</v>
      </c>
      <c r="I53" s="28">
        <f t="shared" si="1"/>
        <v>4.3478260869564758E-2</v>
      </c>
      <c r="J53" s="1">
        <f>VLOOKUP($A53,Calculator!$A:$U,21,FALSE)</f>
        <v>3030.4803540895941</v>
      </c>
      <c r="K53" s="28">
        <f t="shared" si="2"/>
        <v>0</v>
      </c>
      <c r="L53" s="1">
        <f t="shared" si="4"/>
        <v>2.1739130434782379E-2</v>
      </c>
      <c r="M53" s="32">
        <f>VLOOKUP($A53,Calculator!$A:$Z,17,FALSE)</f>
        <v>3.5</v>
      </c>
      <c r="N53" s="1">
        <f>VLOOKUP($A53,Calculator!$A:$Z,18,FALSE)</f>
        <v>4.5000000000000009</v>
      </c>
      <c r="O53" s="1">
        <f>VLOOKUP($A53,Calculator!$A:$Z,19,FALSE)</f>
        <v>3</v>
      </c>
      <c r="P53" s="32">
        <f>IF(M53="No Data","No Data",M53/(7-IF(M53&lt;7,VLOOKUP($A53,'Data Gaps'!$A:$N,6,FALSE),0)))</f>
        <v>0.5</v>
      </c>
      <c r="Q53" s="1">
        <f>IF(N53="No Data","No Data",N53/(7-IF(N53&lt;7,VLOOKUP($A53,'Data Gaps'!$A:$N,7,FALSE),0)))</f>
        <v>0.64285714285714302</v>
      </c>
      <c r="R53" s="1">
        <f>IF(O53="No Data","No Data",O53/(7-IF(O53&lt;7,VLOOKUP($A53,'Data Gaps'!$A:$N,8,FALSE),0)))</f>
        <v>0.42857142857142855</v>
      </c>
      <c r="S53" s="32">
        <f t="shared" si="3"/>
        <v>39.829192546583855</v>
      </c>
    </row>
    <row r="54" spans="1:19" x14ac:dyDescent="0.35">
      <c r="A54" s="1" t="s">
        <v>82</v>
      </c>
      <c r="B54" s="28" t="s">
        <v>83</v>
      </c>
      <c r="C54" s="1" t="s">
        <v>32</v>
      </c>
      <c r="D54" s="1" t="s">
        <v>33</v>
      </c>
      <c r="E54" s="28" t="s">
        <v>25</v>
      </c>
      <c r="F54" s="28" t="s">
        <v>161</v>
      </c>
      <c r="G54" s="28" t="str">
        <f>VLOOKUP($A54,'EBA2017'!$A:$G,7,FALSE)</f>
        <v>Two</v>
      </c>
      <c r="H54" s="32" t="str">
        <f>VLOOKUP($A54,Calculator!$A:$T,20,FALSE)</f>
        <v>N/A</v>
      </c>
      <c r="I54" s="28">
        <f t="shared" si="1"/>
        <v>0</v>
      </c>
      <c r="J54" s="1" t="str">
        <f>VLOOKUP($A54,Calculator!$A:$U,21,FALSE)</f>
        <v>N/A</v>
      </c>
      <c r="K54" s="28">
        <f t="shared" si="2"/>
        <v>0</v>
      </c>
      <c r="L54" s="1">
        <f t="shared" si="4"/>
        <v>0</v>
      </c>
      <c r="M54" s="32">
        <f>VLOOKUP($A54,Calculator!$A:$Z,17,FALSE)</f>
        <v>0</v>
      </c>
      <c r="N54" s="1">
        <f>VLOOKUP($A54,Calculator!$A:$Z,18,FALSE)</f>
        <v>3.5</v>
      </c>
      <c r="O54" s="1">
        <f>VLOOKUP($A54,Calculator!$A:$Z,19,FALSE)</f>
        <v>6</v>
      </c>
      <c r="P54" s="32">
        <f>IF(M54="No Data","No Data",M54/(7-IF(M54&lt;7,VLOOKUP($A54,'Data Gaps'!$A:$N,6,FALSE),0)))</f>
        <v>0</v>
      </c>
      <c r="Q54" s="1">
        <f>IF(N54="No Data","No Data",N54/(7-IF(N54&lt;7,VLOOKUP($A54,'Data Gaps'!$A:$N,7,FALSE),0)))</f>
        <v>0.5</v>
      </c>
      <c r="R54" s="1">
        <f>IF(O54="No Data","No Data",O54/(7-IF(O54&lt;7,VLOOKUP($A54,'Data Gaps'!$A:$N,8,FALSE),0)))</f>
        <v>0.8571428571428571</v>
      </c>
      <c r="S54" s="32">
        <f t="shared" si="3"/>
        <v>33.928571428571431</v>
      </c>
    </row>
    <row r="55" spans="1:19" x14ac:dyDescent="0.35">
      <c r="A55" s="1" t="s">
        <v>100</v>
      </c>
      <c r="B55" s="28" t="s">
        <v>101</v>
      </c>
      <c r="C55" s="1" t="s">
        <v>16</v>
      </c>
      <c r="D55" s="1" t="s">
        <v>17</v>
      </c>
      <c r="E55" s="28" t="s">
        <v>18</v>
      </c>
      <c r="F55" s="28" t="s">
        <v>161</v>
      </c>
      <c r="G55" s="28" t="str">
        <f>VLOOKUP($A55,'EBA2017'!$A:$G,7,FALSE)</f>
        <v>Two</v>
      </c>
      <c r="H55" s="32" t="str">
        <f>VLOOKUP($A55,Calculator!$A:$T,20,FALSE)</f>
        <v>N/A</v>
      </c>
      <c r="I55" s="28">
        <f t="shared" si="1"/>
        <v>0</v>
      </c>
      <c r="J55" s="1" t="str">
        <f>VLOOKUP($A55,Calculator!$A:$U,21,FALSE)</f>
        <v>N/A</v>
      </c>
      <c r="K55" s="28">
        <f t="shared" si="2"/>
        <v>0</v>
      </c>
      <c r="L55" s="1">
        <f t="shared" si="4"/>
        <v>0</v>
      </c>
      <c r="M55" s="32">
        <f>VLOOKUP($A55,Calculator!$A:$Z,17,FALSE)</f>
        <v>0</v>
      </c>
      <c r="N55" s="1">
        <f>VLOOKUP($A55,Calculator!$A:$Z,18,FALSE)</f>
        <v>3</v>
      </c>
      <c r="O55" s="1">
        <f>VLOOKUP($A55,Calculator!$A:$Z,19,FALSE)</f>
        <v>3.5</v>
      </c>
      <c r="P55" s="32">
        <f>IF(M55="No Data","No Data",M55/(7-IF(M55&lt;7,VLOOKUP($A55,'Data Gaps'!$A:$N,6,FALSE),0)))</f>
        <v>0</v>
      </c>
      <c r="Q55" s="1">
        <f>IF(N55="No Data","No Data",N55/(7-IF(N55&lt;7,VLOOKUP($A55,'Data Gaps'!$A:$N,7,FALSE),0)))</f>
        <v>0.5</v>
      </c>
      <c r="R55" s="1">
        <f>IF(O55="No Data","No Data",O55/(7-IF(O55&lt;7,VLOOKUP($A55,'Data Gaps'!$A:$N,8,FALSE),0)))</f>
        <v>0.5</v>
      </c>
      <c r="S55" s="32">
        <f t="shared" si="3"/>
        <v>25</v>
      </c>
    </row>
    <row r="56" spans="1:19" x14ac:dyDescent="0.35">
      <c r="A56" s="1" t="s">
        <v>102</v>
      </c>
      <c r="B56" s="28" t="s">
        <v>103</v>
      </c>
      <c r="C56" s="1" t="s">
        <v>16</v>
      </c>
      <c r="D56" s="1" t="s">
        <v>17</v>
      </c>
      <c r="E56" s="29" t="s">
        <v>9</v>
      </c>
      <c r="F56" s="28" t="s">
        <v>160</v>
      </c>
      <c r="G56" s="28" t="str">
        <f>VLOOKUP($A56,'EBA2017'!$A:$G,7,FALSE)</f>
        <v>Two</v>
      </c>
      <c r="H56" s="32">
        <f>VLOOKUP($A56,Calculator!$A:$T,20,FALSE)</f>
        <v>225</v>
      </c>
      <c r="I56" s="28">
        <f t="shared" si="1"/>
        <v>0.77306468716861065</v>
      </c>
      <c r="J56" s="1">
        <f>VLOOKUP($A56,Calculator!$A:$U,21,FALSE)</f>
        <v>6.0367852468278835</v>
      </c>
      <c r="K56" s="28">
        <f t="shared" si="2"/>
        <v>0.99286240281746119</v>
      </c>
      <c r="L56" s="1">
        <f t="shared" si="4"/>
        <v>0.88296354499303598</v>
      </c>
      <c r="M56" s="32">
        <f>VLOOKUP($A56,Calculator!$A:$Z,17,FALSE)</f>
        <v>4</v>
      </c>
      <c r="N56" s="1">
        <f>VLOOKUP($A56,Calculator!$A:$Z,18,FALSE)</f>
        <v>3</v>
      </c>
      <c r="O56" s="1">
        <f>VLOOKUP($A56,Calculator!$A:$Z,19,FALSE)</f>
        <v>3</v>
      </c>
      <c r="P56" s="32">
        <f>IF(M56="No Data","No Data",M56/(7-IF(M56&lt;7,VLOOKUP($A56,'Data Gaps'!$A:$N,6,FALSE),0)))</f>
        <v>0.5714285714285714</v>
      </c>
      <c r="Q56" s="1">
        <f>IF(N56="No Data","No Data",N56/(7-IF(N56&lt;7,VLOOKUP($A56,'Data Gaps'!$A:$N,7,FALSE),0)))</f>
        <v>0.42857142857142855</v>
      </c>
      <c r="R56" s="1">
        <f>IF(O56="No Data","No Data",O56/(7-IF(O56&lt;7,VLOOKUP($A56,'Data Gaps'!$A:$N,8,FALSE),0)))</f>
        <v>0.42857142857142855</v>
      </c>
      <c r="S56" s="32">
        <f t="shared" si="3"/>
        <v>57.788374339111613</v>
      </c>
    </row>
    <row r="57" spans="1:19" x14ac:dyDescent="0.35">
      <c r="A57" s="1" t="s">
        <v>98</v>
      </c>
      <c r="B57" s="28" t="s">
        <v>99</v>
      </c>
      <c r="C57" s="1" t="s">
        <v>21</v>
      </c>
      <c r="D57" s="1" t="s">
        <v>22</v>
      </c>
      <c r="E57" s="28" t="s">
        <v>9</v>
      </c>
      <c r="F57" s="28" t="s">
        <v>160</v>
      </c>
      <c r="G57" s="28" t="str">
        <f>VLOOKUP($A57,'EBA2017'!$A:$G,7,FALSE)</f>
        <v>Two</v>
      </c>
      <c r="H57" s="32">
        <f>VLOOKUP($A57,Calculator!$A:$T,20,FALSE)</f>
        <v>28</v>
      </c>
      <c r="I57" s="28">
        <f t="shared" si="1"/>
        <v>0.98197242841993637</v>
      </c>
      <c r="J57" s="1">
        <f>VLOOKUP($A57,Calculator!$A:$U,21,FALSE)</f>
        <v>82.474226804123703</v>
      </c>
      <c r="K57" s="28">
        <f t="shared" si="2"/>
        <v>0.9024865412963784</v>
      </c>
      <c r="L57" s="1">
        <f t="shared" si="4"/>
        <v>0.94222948485815738</v>
      </c>
      <c r="M57" s="32">
        <f>VLOOKUP($A57,Calculator!$A:$Z,17,FALSE)</f>
        <v>4.8</v>
      </c>
      <c r="N57" s="1">
        <f>VLOOKUP($A57,Calculator!$A:$Z,18,FALSE)</f>
        <v>7</v>
      </c>
      <c r="O57" s="1">
        <f>VLOOKUP($A57,Calculator!$A:$Z,19,FALSE)</f>
        <v>3.5</v>
      </c>
      <c r="P57" s="32">
        <f>IF(M57="No Data","No Data",M57/(7-IF(M57&lt;7,VLOOKUP($A57,'Data Gaps'!$A:$N,6,FALSE),0)))</f>
        <v>0.68571428571428572</v>
      </c>
      <c r="Q57" s="1">
        <f>IF(N57="No Data","No Data",N57/(7-IF(N57&lt;7,VLOOKUP($A57,'Data Gaps'!$A:$N,7,FALSE),0)))</f>
        <v>1</v>
      </c>
      <c r="R57" s="1">
        <f>IF(O57="No Data","No Data",O57/(7-IF(O57&lt;7,VLOOKUP($A57,'Data Gaps'!$A:$N,8,FALSE),0)))</f>
        <v>0.5</v>
      </c>
      <c r="S57" s="32">
        <f t="shared" si="3"/>
        <v>78.198594264311083</v>
      </c>
    </row>
    <row r="58" spans="1:19" x14ac:dyDescent="0.35">
      <c r="A58" s="1" t="s">
        <v>106</v>
      </c>
      <c r="B58" s="28" t="s">
        <v>107</v>
      </c>
      <c r="C58" s="1" t="s">
        <v>32</v>
      </c>
      <c r="D58" s="1" t="s">
        <v>33</v>
      </c>
      <c r="E58" s="29" t="s">
        <v>9</v>
      </c>
      <c r="F58" s="28" t="s">
        <v>159</v>
      </c>
      <c r="G58" s="28" t="str">
        <f>VLOOKUP($A58,'EBA2017'!$A:$G,7,FALSE)</f>
        <v>Two</v>
      </c>
      <c r="H58" s="32">
        <f>VLOOKUP($A58,Calculator!$A:$T,20,FALSE)</f>
        <v>134</v>
      </c>
      <c r="I58" s="28">
        <f t="shared" si="1"/>
        <v>0.86956521739130432</v>
      </c>
      <c r="J58" s="1">
        <f>VLOOKUP($A58,Calculator!$A:$U,21,FALSE)</f>
        <v>9.2283543159630703</v>
      </c>
      <c r="K58" s="28">
        <f t="shared" si="2"/>
        <v>0.98908884893665883</v>
      </c>
      <c r="L58" s="1">
        <f t="shared" si="4"/>
        <v>0.92932703316398158</v>
      </c>
      <c r="M58" s="32">
        <f>VLOOKUP($A58,Calculator!$A:$Z,17,FALSE)</f>
        <v>4.4000000000000004</v>
      </c>
      <c r="N58" s="1">
        <f>VLOOKUP($A58,Calculator!$A:$Z,18,FALSE)</f>
        <v>4.5000000000000009</v>
      </c>
      <c r="O58" s="1">
        <f>VLOOKUP($A58,Calculator!$A:$Z,19,FALSE)</f>
        <v>3.5</v>
      </c>
      <c r="P58" s="32">
        <f>IF(M58="No Data","No Data",M58/(7-IF(M58&lt;7,VLOOKUP($A58,'Data Gaps'!$A:$N,6,FALSE),0)))</f>
        <v>0.62857142857142867</v>
      </c>
      <c r="Q58" s="1">
        <f>IF(N58="No Data","No Data",N58/(7-IF(N58&lt;7,VLOOKUP($A58,'Data Gaps'!$A:$N,7,FALSE),0)))</f>
        <v>0.64285714285714302</v>
      </c>
      <c r="R58" s="1">
        <f>IF(O58="No Data","No Data",O58/(7-IF(O58&lt;7,VLOOKUP($A58,'Data Gaps'!$A:$N,8,FALSE),0)))</f>
        <v>0.5</v>
      </c>
      <c r="S58" s="32">
        <f t="shared" si="3"/>
        <v>67.518890114813829</v>
      </c>
    </row>
    <row r="59" spans="1:19" x14ac:dyDescent="0.35">
      <c r="A59" s="1" t="s">
        <v>124</v>
      </c>
      <c r="B59" s="28" t="s">
        <v>125</v>
      </c>
      <c r="C59" s="1" t="s">
        <v>16</v>
      </c>
      <c r="D59" s="1" t="s">
        <v>17</v>
      </c>
      <c r="E59" s="29" t="s">
        <v>9</v>
      </c>
      <c r="F59" s="28" t="s">
        <v>160</v>
      </c>
      <c r="G59" s="28" t="str">
        <f>VLOOKUP($A59,'EBA2017'!$A:$G,7,FALSE)</f>
        <v>Two</v>
      </c>
      <c r="H59" s="32" t="str">
        <f>VLOOKUP($A59,Calculator!$A:$T,20,FALSE)</f>
        <v>N/A</v>
      </c>
      <c r="I59" s="28">
        <f t="shared" si="1"/>
        <v>0</v>
      </c>
      <c r="J59" s="1" t="str">
        <f>VLOOKUP($A59,Calculator!$A:$U,21,FALSE)</f>
        <v>N/A</v>
      </c>
      <c r="K59" s="28">
        <f t="shared" si="2"/>
        <v>0</v>
      </c>
      <c r="L59" s="1">
        <f t="shared" si="4"/>
        <v>0</v>
      </c>
      <c r="M59" s="32">
        <f>VLOOKUP($A59,Calculator!$A:$Z,17,FALSE)</f>
        <v>0</v>
      </c>
      <c r="N59" s="1">
        <f>VLOOKUP($A59,Calculator!$A:$Z,18,FALSE)</f>
        <v>3.5</v>
      </c>
      <c r="O59" s="1">
        <f>VLOOKUP($A59,Calculator!$A:$Z,19,FALSE)</f>
        <v>3</v>
      </c>
      <c r="P59" s="32">
        <f>IF(M59="No Data","No Data",M59/(7-IF(M59&lt;7,VLOOKUP($A59,'Data Gaps'!$A:$N,6,FALSE),0)))</f>
        <v>0</v>
      </c>
      <c r="Q59" s="1">
        <f>IF(N59="No Data","No Data",N59/(7-IF(N59&lt;7,VLOOKUP($A59,'Data Gaps'!$A:$N,7,FALSE),0)))</f>
        <v>0.5</v>
      </c>
      <c r="R59" s="1">
        <f>IF(O59="No Data","No Data",O59/(7-IF(O59&lt;7,VLOOKUP($A59,'Data Gaps'!$A:$N,8,FALSE),0)))</f>
        <v>0.42857142857142855</v>
      </c>
      <c r="S59" s="32">
        <f t="shared" si="3"/>
        <v>23.214285714285715</v>
      </c>
    </row>
    <row r="60" spans="1:19" x14ac:dyDescent="0.35">
      <c r="A60" s="1" t="s">
        <v>130</v>
      </c>
      <c r="B60" s="28" t="s">
        <v>131</v>
      </c>
      <c r="C60" s="1" t="s">
        <v>32</v>
      </c>
      <c r="D60" s="1" t="s">
        <v>33</v>
      </c>
      <c r="E60" s="29" t="s">
        <v>25</v>
      </c>
      <c r="F60" s="28" t="s">
        <v>161</v>
      </c>
      <c r="G60" s="28" t="str">
        <f>VLOOKUP($A60,'EBA2017'!$A:$G,7,FALSE)</f>
        <v>Two</v>
      </c>
      <c r="H60" s="32">
        <f>VLOOKUP($A60,Calculator!$A:$T,20,FALSE)</f>
        <v>100</v>
      </c>
      <c r="I60" s="28">
        <f t="shared" si="1"/>
        <v>0.90562036055143158</v>
      </c>
      <c r="J60" s="1">
        <f>VLOOKUP($A60,Calculator!$A:$U,21,FALSE)</f>
        <v>2.0430151818817022</v>
      </c>
      <c r="K60" s="28">
        <f t="shared" si="2"/>
        <v>0.99758443959659726</v>
      </c>
      <c r="L60" s="1">
        <f t="shared" si="4"/>
        <v>0.95160240007401442</v>
      </c>
      <c r="M60" s="32">
        <f>VLOOKUP($A60,Calculator!$A:$Z,17,FALSE)</f>
        <v>5.4000000000000012</v>
      </c>
      <c r="N60" s="1">
        <f>VLOOKUP($A60,Calculator!$A:$Z,18,FALSE)</f>
        <v>4.5000000000000009</v>
      </c>
      <c r="O60" s="1">
        <f>VLOOKUP($A60,Calculator!$A:$Z,19,FALSE)</f>
        <v>3.5</v>
      </c>
      <c r="P60" s="32">
        <f>IF(M60="No Data","No Data",M60/(7-IF(M60&lt;7,VLOOKUP($A60,'Data Gaps'!$A:$N,6,FALSE),0)))</f>
        <v>0.77142857142857157</v>
      </c>
      <c r="Q60" s="1">
        <f>IF(N60="No Data","No Data",N60/(7-IF(N60&lt;7,VLOOKUP($A60,'Data Gaps'!$A:$N,7,FALSE),0)))</f>
        <v>0.64285714285714302</v>
      </c>
      <c r="R60" s="1">
        <f>IF(O60="No Data","No Data",O60/(7-IF(O60&lt;7,VLOOKUP($A60,'Data Gaps'!$A:$N,8,FALSE),0)))</f>
        <v>0.5</v>
      </c>
      <c r="S60" s="32">
        <f t="shared" si="3"/>
        <v>71.647202858993225</v>
      </c>
    </row>
    <row r="61" spans="1:19" x14ac:dyDescent="0.35">
      <c r="A61" s="1" t="s">
        <v>128</v>
      </c>
      <c r="B61" s="28" t="s">
        <v>129</v>
      </c>
      <c r="C61" s="1" t="s">
        <v>16</v>
      </c>
      <c r="D61" s="1" t="s">
        <v>17</v>
      </c>
      <c r="E61" s="29" t="s">
        <v>18</v>
      </c>
      <c r="F61" s="28" t="s">
        <v>159</v>
      </c>
      <c r="G61" s="28" t="str">
        <f>VLOOKUP($A61,'EBA2017'!$A:$G,7,FALSE)</f>
        <v>Two</v>
      </c>
      <c r="H61" s="32">
        <f>VLOOKUP($A61,Calculator!$A:$T,20,FALSE)</f>
        <v>578</v>
      </c>
      <c r="I61" s="28">
        <f t="shared" si="1"/>
        <v>0.39872746553552463</v>
      </c>
      <c r="J61" s="1">
        <f>VLOOKUP($A61,Calculator!$A:$U,21,FALSE)</f>
        <v>983.14220634392962</v>
      </c>
      <c r="K61" s="28">
        <f t="shared" si="2"/>
        <v>0</v>
      </c>
      <c r="L61" s="1">
        <f t="shared" si="4"/>
        <v>0.19936373276776231</v>
      </c>
      <c r="M61" s="32">
        <f>VLOOKUP($A61,Calculator!$A:$Z,17,FALSE)</f>
        <v>3.4</v>
      </c>
      <c r="N61" s="1">
        <f>VLOOKUP($A61,Calculator!$A:$Z,18,FALSE)</f>
        <v>7</v>
      </c>
      <c r="O61" s="1">
        <f>VLOOKUP($A61,Calculator!$A:$Z,19,FALSE)</f>
        <v>3</v>
      </c>
      <c r="P61" s="32">
        <f>IF(M61="No Data","No Data",M61/(7-IF(M61&lt;7,VLOOKUP($A61,'Data Gaps'!$A:$N,6,FALSE),0)))</f>
        <v>0.48571428571428571</v>
      </c>
      <c r="Q61" s="1">
        <f>IF(N61="No Data","No Data",N61/(7-IF(N61&lt;7,VLOOKUP($A61,'Data Gaps'!$A:$N,7,FALSE),0)))</f>
        <v>1</v>
      </c>
      <c r="R61" s="1">
        <f>IF(O61="No Data","No Data",O61/(7-IF(O61&lt;7,VLOOKUP($A61,'Data Gaps'!$A:$N,8,FALSE),0)))</f>
        <v>0.42857142857142855</v>
      </c>
      <c r="S61" s="32">
        <f t="shared" si="3"/>
        <v>52.841236176336913</v>
      </c>
    </row>
    <row r="62" spans="1:19" x14ac:dyDescent="0.35">
      <c r="A62" s="1" t="s">
        <v>134</v>
      </c>
      <c r="B62" s="28" t="s">
        <v>135</v>
      </c>
      <c r="C62" s="1" t="s">
        <v>16</v>
      </c>
      <c r="D62" s="1" t="s">
        <v>17</v>
      </c>
      <c r="E62" s="28" t="s">
        <v>18</v>
      </c>
      <c r="F62" s="28" t="s">
        <v>160</v>
      </c>
      <c r="G62" s="28" t="str">
        <f>VLOOKUP($A62,'EBA2017'!$A:$G,7,FALSE)</f>
        <v>Two</v>
      </c>
      <c r="H62" s="32">
        <f>VLOOKUP($A62,Calculator!$A:$T,20,FALSE)</f>
        <v>663</v>
      </c>
      <c r="I62" s="28">
        <f t="shared" si="1"/>
        <v>0.30858960763520643</v>
      </c>
      <c r="J62" s="1">
        <f>VLOOKUP($A62,Calculator!$A:$U,21,FALSE)</f>
        <v>215.29316667584428</v>
      </c>
      <c r="K62" s="28">
        <f t="shared" si="2"/>
        <v>0.74544797652147077</v>
      </c>
      <c r="L62" s="1">
        <f t="shared" si="4"/>
        <v>0.52701879207833857</v>
      </c>
      <c r="M62" s="32">
        <f>VLOOKUP($A62,Calculator!$A:$Z,17,FALSE)</f>
        <v>3.4</v>
      </c>
      <c r="N62" s="1">
        <f>VLOOKUP($A62,Calculator!$A:$Z,18,FALSE)</f>
        <v>4</v>
      </c>
      <c r="O62" s="1">
        <f>VLOOKUP($A62,Calculator!$A:$Z,19,FALSE)</f>
        <v>2</v>
      </c>
      <c r="P62" s="32">
        <f>IF(M62="No Data","No Data",M62/(7-IF(M62&lt;7,VLOOKUP($A62,'Data Gaps'!$A:$N,6,FALSE),0)))</f>
        <v>0.48571428571428571</v>
      </c>
      <c r="Q62" s="1">
        <f>IF(N62="No Data","No Data",N62/(7-IF(N62&lt;7,VLOOKUP($A62,'Data Gaps'!$A:$N,7,FALSE),0)))</f>
        <v>0.5714285714285714</v>
      </c>
      <c r="R62" s="1">
        <f>IF(O62="No Data","No Data",O62/(7-IF(O62&lt;7,VLOOKUP($A62,'Data Gaps'!$A:$N,8,FALSE),0)))</f>
        <v>0.2857142857142857</v>
      </c>
      <c r="S62" s="32">
        <f t="shared" si="3"/>
        <v>46.746898373387033</v>
      </c>
    </row>
    <row r="63" spans="1:19" x14ac:dyDescent="0.35">
      <c r="A63" s="1" t="s">
        <v>138</v>
      </c>
      <c r="B63" s="28" t="s">
        <v>139</v>
      </c>
      <c r="C63" s="1" t="s">
        <v>21</v>
      </c>
      <c r="D63" s="1" t="s">
        <v>22</v>
      </c>
      <c r="E63" s="28" t="s">
        <v>40</v>
      </c>
      <c r="F63" s="28" t="s">
        <v>160</v>
      </c>
      <c r="G63" s="28" t="str">
        <f>VLOOKUP($A63,'EBA2017'!$A:$G,7,FALSE)</f>
        <v>Two</v>
      </c>
      <c r="H63" s="32">
        <f>VLOOKUP($A63,Calculator!$A:$T,20,FALSE)</f>
        <v>11</v>
      </c>
      <c r="I63" s="28">
        <f t="shared" si="1"/>
        <v>1</v>
      </c>
      <c r="J63" s="1">
        <f>VLOOKUP($A63,Calculator!$A:$U,21,FALSE)</f>
        <v>12.632110608757793</v>
      </c>
      <c r="K63" s="28">
        <f t="shared" si="2"/>
        <v>0.98506441534623645</v>
      </c>
      <c r="L63" s="1">
        <f t="shared" si="4"/>
        <v>0.99253220767311823</v>
      </c>
      <c r="M63" s="32">
        <f>VLOOKUP($A63,Calculator!$A:$Z,17,FALSE)</f>
        <v>4</v>
      </c>
      <c r="N63" s="1">
        <f>VLOOKUP($A63,Calculator!$A:$Z,18,FALSE)</f>
        <v>4.5000000000000009</v>
      </c>
      <c r="O63" s="1">
        <f>VLOOKUP($A63,Calculator!$A:$Z,19,FALSE)</f>
        <v>3</v>
      </c>
      <c r="P63" s="32">
        <f>IF(M63="No Data","No Data",M63/(7-IF(M63&lt;7,VLOOKUP($A63,'Data Gaps'!$A:$N,6,FALSE),0)))</f>
        <v>0.5714285714285714</v>
      </c>
      <c r="Q63" s="1">
        <f>IF(N63="No Data","No Data",N63/(7-IF(N63&lt;7,VLOOKUP($A63,'Data Gaps'!$A:$N,7,FALSE),0)))</f>
        <v>0.64285714285714302</v>
      </c>
      <c r="R63" s="1">
        <f>IF(O63="No Data","No Data",O63/(7-IF(O63&lt;7,VLOOKUP($A63,'Data Gaps'!$A:$N,8,FALSE),0)))</f>
        <v>0.42857142857142855</v>
      </c>
      <c r="S63" s="32">
        <f t="shared" si="3"/>
        <v>65.884733763256534</v>
      </c>
    </row>
    <row r="64" spans="1:19" x14ac:dyDescent="0.35">
      <c r="A64" s="1" t="s">
        <v>140</v>
      </c>
      <c r="B64" s="28" t="s">
        <v>141</v>
      </c>
      <c r="C64" s="1" t="s">
        <v>32</v>
      </c>
      <c r="D64" s="1" t="s">
        <v>33</v>
      </c>
      <c r="E64" s="28" t="s">
        <v>9</v>
      </c>
      <c r="F64" s="28" t="s">
        <v>162</v>
      </c>
      <c r="G64" s="28" t="str">
        <f>VLOOKUP($A64,'EBA2017'!$A:$G,7,FALSE)</f>
        <v>Two</v>
      </c>
      <c r="H64" s="32">
        <f>VLOOKUP($A64,Calculator!$A:$T,20,FALSE)</f>
        <v>15</v>
      </c>
      <c r="I64" s="28">
        <f t="shared" si="1"/>
        <v>0.99575821845174972</v>
      </c>
      <c r="J64" s="1">
        <f>VLOOKUP($A64,Calculator!$A:$U,21,FALSE)</f>
        <v>5.1767676767676765</v>
      </c>
      <c r="K64" s="28">
        <f t="shared" si="2"/>
        <v>0.99387924518206594</v>
      </c>
      <c r="L64" s="1">
        <f t="shared" si="4"/>
        <v>0.99481873181690783</v>
      </c>
      <c r="M64" s="32">
        <f>VLOOKUP($A64,Calculator!$A:$Z,17,FALSE)</f>
        <v>6</v>
      </c>
      <c r="N64" s="1">
        <f>VLOOKUP($A64,Calculator!$A:$Z,18,FALSE)</f>
        <v>5</v>
      </c>
      <c r="O64" s="1">
        <f>VLOOKUP($A64,Calculator!$A:$Z,19,FALSE)</f>
        <v>3</v>
      </c>
      <c r="P64" s="32">
        <f>IF(M64="No Data","No Data",M64/(7-IF(M64&lt;7,VLOOKUP($A64,'Data Gaps'!$A:$N,6,FALSE),0)))</f>
        <v>0.8571428571428571</v>
      </c>
      <c r="Q64" s="1">
        <f>IF(N64="No Data","No Data",N64/(7-IF(N64&lt;7,VLOOKUP($A64,'Data Gaps'!$A:$N,7,FALSE),0)))</f>
        <v>0.7142857142857143</v>
      </c>
      <c r="R64" s="1">
        <f>IF(O64="No Data","No Data",O64/(7-IF(O64&lt;7,VLOOKUP($A64,'Data Gaps'!$A:$N,8,FALSE),0)))</f>
        <v>0.42857142857142855</v>
      </c>
      <c r="S64" s="32">
        <f t="shared" si="3"/>
        <v>74.870468295422683</v>
      </c>
    </row>
    <row r="65" spans="1:19" x14ac:dyDescent="0.35">
      <c r="A65" s="1" t="s">
        <v>142</v>
      </c>
      <c r="B65" s="28" t="s">
        <v>143</v>
      </c>
      <c r="C65" s="1" t="s">
        <v>16</v>
      </c>
      <c r="D65" s="1" t="s">
        <v>17</v>
      </c>
      <c r="E65" s="28" t="s">
        <v>9</v>
      </c>
      <c r="F65" s="28" t="s">
        <v>162</v>
      </c>
      <c r="G65" s="28" t="str">
        <f>VLOOKUP($A65,'EBA2017'!$A:$G,7,FALSE)</f>
        <v>Two</v>
      </c>
      <c r="H65" s="32">
        <f>VLOOKUP($A65,Calculator!$A:$T,20,FALSE)</f>
        <v>210</v>
      </c>
      <c r="I65" s="28">
        <f t="shared" si="1"/>
        <v>0.78897136797454925</v>
      </c>
      <c r="J65" s="1">
        <f>VLOOKUP($A65,Calculator!$A:$U,21,FALSE)</f>
        <v>226.58879292341911</v>
      </c>
      <c r="K65" s="28">
        <f t="shared" si="2"/>
        <v>0.73209258507002462</v>
      </c>
      <c r="L65" s="1">
        <f t="shared" si="4"/>
        <v>0.76053197652228688</v>
      </c>
      <c r="M65" s="32">
        <f>VLOOKUP($A65,Calculator!$A:$Z,17,FALSE)</f>
        <v>2.8999999999999995</v>
      </c>
      <c r="N65" s="1">
        <f>VLOOKUP($A65,Calculator!$A:$Z,18,FALSE)</f>
        <v>3.5</v>
      </c>
      <c r="O65" s="1">
        <f>VLOOKUP($A65,Calculator!$A:$Z,19,FALSE)</f>
        <v>2.5000000000000004</v>
      </c>
      <c r="P65" s="32">
        <f>IF(M65="No Data","No Data",M65/(7-IF(M65&lt;7,VLOOKUP($A65,'Data Gaps'!$A:$N,6,FALSE),0)))</f>
        <v>0.4142857142857142</v>
      </c>
      <c r="Q65" s="1">
        <f>IF(N65="No Data","No Data",N65/(7-IF(N65&lt;7,VLOOKUP($A65,'Data Gaps'!$A:$N,7,FALSE),0)))</f>
        <v>0.5</v>
      </c>
      <c r="R65" s="1">
        <f>IF(O65="No Data","No Data",O65/(7-IF(O65&lt;7,VLOOKUP($A65,'Data Gaps'!$A:$N,8,FALSE),0)))</f>
        <v>0.41666666666666674</v>
      </c>
      <c r="S65" s="32">
        <f t="shared" si="3"/>
        <v>52.287108936866701</v>
      </c>
    </row>
    <row r="66" spans="1:19" x14ac:dyDescent="0.35">
      <c r="A66" s="1" t="s">
        <v>144</v>
      </c>
      <c r="B66" s="28" t="s">
        <v>145</v>
      </c>
      <c r="C66" s="1" t="s">
        <v>16</v>
      </c>
      <c r="D66" s="1" t="s">
        <v>17</v>
      </c>
      <c r="E66" s="28" t="s">
        <v>18</v>
      </c>
      <c r="F66" s="28" t="s">
        <v>160</v>
      </c>
      <c r="G66" s="28" t="str">
        <f>VLOOKUP($A66,'EBA2017'!$A:$G,7,FALSE)</f>
        <v>Two</v>
      </c>
      <c r="H66" s="32">
        <f>VLOOKUP($A66,Calculator!$A:$T,20,FALSE)</f>
        <v>15</v>
      </c>
      <c r="I66" s="28">
        <f t="shared" si="1"/>
        <v>0.99575821845174972</v>
      </c>
      <c r="J66" s="1">
        <f>VLOOKUP($A66,Calculator!$A:$U,21,FALSE)</f>
        <v>15.882352941176469</v>
      </c>
      <c r="K66" s="28">
        <f t="shared" si="2"/>
        <v>0.98122148909229523</v>
      </c>
      <c r="L66" s="1">
        <f t="shared" si="4"/>
        <v>0.98848985377202248</v>
      </c>
      <c r="M66" s="32">
        <f>VLOOKUP($A66,Calculator!$A:$Z,17,FALSE)</f>
        <v>4.4000000000000004</v>
      </c>
      <c r="N66" s="1">
        <f>VLOOKUP($A66,Calculator!$A:$Z,18,FALSE)</f>
        <v>3</v>
      </c>
      <c r="O66" s="1">
        <f>VLOOKUP($A66,Calculator!$A:$Z,19,FALSE)</f>
        <v>3</v>
      </c>
      <c r="P66" s="32">
        <f>IF(M66="No Data","No Data",M66/(7-IF(M66&lt;7,VLOOKUP($A66,'Data Gaps'!$A:$N,6,FALSE),0)))</f>
        <v>0.62857142857142867</v>
      </c>
      <c r="Q66" s="1">
        <f>IF(N66="No Data","No Data",N66/(7-IF(N66&lt;7,VLOOKUP($A66,'Data Gaps'!$A:$N,7,FALSE),0)))</f>
        <v>0.42857142857142855</v>
      </c>
      <c r="R66" s="1">
        <f>IF(O66="No Data","No Data",O66/(7-IF(O66&lt;7,VLOOKUP($A66,'Data Gaps'!$A:$N,8,FALSE),0)))</f>
        <v>0.42857142857142855</v>
      </c>
      <c r="S66" s="32">
        <f t="shared" si="3"/>
        <v>61.855103487157706</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6"/>
  <sheetViews>
    <sheetView workbookViewId="0">
      <pane xSplit="1" ySplit="4" topLeftCell="D5" activePane="bottomRight" state="frozen"/>
      <selection pane="topRight" activeCell="B1" sqref="B1"/>
      <selection pane="bottomLeft" activeCell="A5" sqref="A5"/>
      <selection pane="bottomRight" activeCell="U5" sqref="U5:W66"/>
    </sheetView>
  </sheetViews>
  <sheetFormatPr defaultRowHeight="14.5" x14ac:dyDescent="0.35"/>
  <cols>
    <col min="1" max="1" width="29.453125" customWidth="1"/>
    <col min="5" max="5" width="15.7265625" bestFit="1" customWidth="1"/>
    <col min="6" max="7" width="15.7265625" customWidth="1"/>
    <col min="8" max="8" width="10.7265625" style="33" customWidth="1"/>
    <col min="9" max="9" width="10.1796875" customWidth="1"/>
    <col min="10" max="11" width="10.7265625" customWidth="1"/>
    <col min="13" max="13" width="8.7265625" style="33"/>
    <col min="18" max="18" width="8.7265625" style="33"/>
    <col min="21" max="21" width="8.7265625" style="33"/>
    <col min="24" max="24" width="8.7265625" style="38"/>
    <col min="25" max="25" width="8.7265625" style="33"/>
  </cols>
  <sheetData>
    <row r="1" spans="1:24" x14ac:dyDescent="0.35">
      <c r="A1" s="1">
        <f>COLUMN()</f>
        <v>1</v>
      </c>
      <c r="B1" s="1">
        <f>COLUMN()</f>
        <v>2</v>
      </c>
      <c r="C1" s="1">
        <f>COLUMN()</f>
        <v>3</v>
      </c>
      <c r="D1" s="1">
        <f>COLUMN()</f>
        <v>4</v>
      </c>
      <c r="E1" s="1">
        <f>COLUMN()</f>
        <v>5</v>
      </c>
      <c r="F1" s="1">
        <f>COLUMN()</f>
        <v>6</v>
      </c>
      <c r="G1" s="1">
        <f>COLUMN()</f>
        <v>7</v>
      </c>
      <c r="H1" s="32">
        <f>COLUMN()</f>
        <v>8</v>
      </c>
      <c r="I1" s="1">
        <f>COLUMN()</f>
        <v>9</v>
      </c>
      <c r="J1" s="1">
        <f>COLUMN()</f>
        <v>10</v>
      </c>
      <c r="K1" s="1">
        <f>COLUMN()</f>
        <v>11</v>
      </c>
      <c r="L1" s="1">
        <f>COLUMN()</f>
        <v>12</v>
      </c>
      <c r="M1" s="32">
        <f>COLUMN()</f>
        <v>13</v>
      </c>
      <c r="N1" s="1">
        <f>COLUMN()</f>
        <v>14</v>
      </c>
      <c r="O1" s="1">
        <f>COLUMN()</f>
        <v>15</v>
      </c>
      <c r="P1" s="1">
        <f>COLUMN()</f>
        <v>16</v>
      </c>
      <c r="Q1" s="1">
        <f>COLUMN()</f>
        <v>17</v>
      </c>
      <c r="R1" s="32">
        <f>COLUMN()</f>
        <v>18</v>
      </c>
      <c r="S1" s="1">
        <f>COLUMN()</f>
        <v>19</v>
      </c>
      <c r="T1" s="1">
        <f>COLUMN()</f>
        <v>20</v>
      </c>
      <c r="U1" s="32">
        <f>COLUMN()</f>
        <v>21</v>
      </c>
      <c r="V1" s="1">
        <f>COLUMN()</f>
        <v>22</v>
      </c>
      <c r="W1" s="1">
        <f>COLUMN()</f>
        <v>23</v>
      </c>
      <c r="X1" s="40">
        <f>COLUMN()</f>
        <v>24</v>
      </c>
    </row>
    <row r="2" spans="1:24" x14ac:dyDescent="0.35">
      <c r="A2" s="1" t="s">
        <v>235</v>
      </c>
      <c r="B2" s="1"/>
      <c r="C2" s="1"/>
      <c r="D2" s="1"/>
      <c r="E2" s="1"/>
      <c r="F2" s="1"/>
      <c r="G2" s="1"/>
      <c r="H2" s="32">
        <f>PERCENTILE(H5:H66,0.95)</f>
        <v>279.05000000000013</v>
      </c>
      <c r="I2" s="1"/>
      <c r="J2" s="1">
        <f>PERCENTILE(J5:J66,0.95)</f>
        <v>560.91163811849333</v>
      </c>
      <c r="K2" s="1"/>
      <c r="L2" s="1"/>
      <c r="M2" s="32">
        <f>PERCENTILE(M5:M66,0.95)</f>
        <v>26.999999999999957</v>
      </c>
      <c r="N2" s="1"/>
      <c r="O2" s="1">
        <f>PERCENTILE(O5:O66,0.95)</f>
        <v>36.9860599753641</v>
      </c>
      <c r="P2" s="1"/>
      <c r="Q2" s="1"/>
      <c r="R2" s="32"/>
      <c r="S2" s="1"/>
      <c r="T2" s="1"/>
      <c r="U2" s="32"/>
      <c r="V2" s="1"/>
      <c r="W2" s="1"/>
      <c r="X2" s="40"/>
    </row>
    <row r="3" spans="1:24" x14ac:dyDescent="0.35">
      <c r="A3" s="1" t="s">
        <v>236</v>
      </c>
      <c r="B3" s="1"/>
      <c r="C3" s="1"/>
      <c r="D3" s="1"/>
      <c r="E3" s="1"/>
      <c r="F3" s="1"/>
      <c r="G3" s="1"/>
      <c r="H3" s="32">
        <f>MIN(H5:H66)</f>
        <v>4</v>
      </c>
      <c r="I3" s="1"/>
      <c r="J3" s="1">
        <f>MIN(J5:J66)</f>
        <v>0.46372010741874092</v>
      </c>
      <c r="K3" s="1"/>
      <c r="L3" s="1"/>
      <c r="M3" s="32">
        <f>MIN(M5:M66)</f>
        <v>1</v>
      </c>
      <c r="N3" s="1"/>
      <c r="O3" s="1">
        <f>MIN(O5:O66)</f>
        <v>2.4280418222348318E-2</v>
      </c>
      <c r="P3" s="1"/>
      <c r="Q3" s="1"/>
      <c r="R3" s="32"/>
      <c r="S3" s="1"/>
      <c r="T3" s="1"/>
      <c r="U3" s="32"/>
      <c r="V3" s="1"/>
      <c r="W3" s="1"/>
      <c r="X3" s="40"/>
    </row>
    <row r="4" spans="1:24" ht="63" x14ac:dyDescent="0.35">
      <c r="A4" s="25" t="s">
        <v>0</v>
      </c>
      <c r="B4" s="25" t="s">
        <v>1</v>
      </c>
      <c r="C4" s="25" t="s">
        <v>2</v>
      </c>
      <c r="D4" s="25" t="s">
        <v>3</v>
      </c>
      <c r="E4" s="25" t="s">
        <v>4</v>
      </c>
      <c r="F4" s="25" t="s">
        <v>156</v>
      </c>
      <c r="G4" s="25" t="s">
        <v>157</v>
      </c>
      <c r="H4" s="36" t="s">
        <v>239</v>
      </c>
      <c r="I4" s="27" t="s">
        <v>230</v>
      </c>
      <c r="J4" s="26" t="s">
        <v>240</v>
      </c>
      <c r="K4" s="27" t="s">
        <v>232</v>
      </c>
      <c r="L4" s="41" t="s">
        <v>263</v>
      </c>
      <c r="M4" s="36" t="s">
        <v>241</v>
      </c>
      <c r="N4" s="27" t="s">
        <v>230</v>
      </c>
      <c r="O4" s="26" t="s">
        <v>242</v>
      </c>
      <c r="P4" s="27" t="s">
        <v>232</v>
      </c>
      <c r="Q4" s="41" t="s">
        <v>264</v>
      </c>
      <c r="R4" s="34" t="s">
        <v>257</v>
      </c>
      <c r="S4" s="7" t="s">
        <v>258</v>
      </c>
      <c r="T4" s="35" t="s">
        <v>259</v>
      </c>
      <c r="U4" s="34" t="s">
        <v>260</v>
      </c>
      <c r="V4" s="7" t="s">
        <v>261</v>
      </c>
      <c r="W4" s="35" t="s">
        <v>262</v>
      </c>
      <c r="X4" s="39" t="s">
        <v>244</v>
      </c>
    </row>
    <row r="5" spans="1:24" x14ac:dyDescent="0.35">
      <c r="A5" s="1" t="s">
        <v>5</v>
      </c>
      <c r="B5" s="28" t="s">
        <v>6</v>
      </c>
      <c r="C5" s="1" t="s">
        <v>7</v>
      </c>
      <c r="D5" s="1" t="s">
        <v>8</v>
      </c>
      <c r="E5" s="28" t="s">
        <v>9</v>
      </c>
      <c r="F5" s="28" t="s">
        <v>159</v>
      </c>
      <c r="G5" s="28" t="str">
        <f>VLOOKUP($A5,'EBA2017'!$A:$G,7,FALSE)</f>
        <v>One</v>
      </c>
      <c r="H5" s="32" t="str">
        <f>VLOOKUP($A5,'EBA2017'!$A:$AE,27,FALSE)</f>
        <v>No practice</v>
      </c>
      <c r="I5" s="28">
        <f>IF(H5="No data","No data",IF(OR(H5="No practice",H5="N/A",H5&gt;$H$2),0,($H$2-H5)/($H$2-$H$3)*100))</f>
        <v>0</v>
      </c>
      <c r="J5" s="1" t="str">
        <f>VLOOKUP($A5,'EBA2017'!$A:$AE,28,FALSE)</f>
        <v>No practice</v>
      </c>
      <c r="K5" s="28">
        <f>IF(J5="No data","No data",IF(OR(J5="No practice",J5="N/A",J5&gt;$J$2),0,($J$2-J5)/($J$2-$J$3)*100))</f>
        <v>0</v>
      </c>
      <c r="L5" s="28">
        <f>IF(AND(I5="N/A",K5="N/A"),"N/A",IF(AND(I5="No data",K5="No data"),"No data",AVERAGE(I5,K5)/100))</f>
        <v>0</v>
      </c>
      <c r="M5" s="32">
        <f>VLOOKUP($A5,'EBA2017'!$A:$AE,29,FALSE)</f>
        <v>3</v>
      </c>
      <c r="N5" s="28">
        <f>IF(M5="No data","No data",IF(OR(M5="No practice",M5="N/A",M5&gt;$M$2),0,($M$2-M5)/($M$2-$M$3)*100))</f>
        <v>92.307692307692292</v>
      </c>
      <c r="O5" s="1">
        <f>VLOOKUP($A5,'EBA2017'!$A:$AE,30,FALSE)</f>
        <v>0.28790899740247583</v>
      </c>
      <c r="P5" s="28">
        <f>IF(O5="No data","No data",IF(OR(O5="No practice",O5="N/A",O5&gt;$O$2),0,($O$2-O5)/($O$2-$O$3)*100))</f>
        <v>99.286753553701146</v>
      </c>
      <c r="Q5" s="28">
        <f>IF(AND(N5="No data",P5="No data"),"No data",AVERAGE(N5,P5)/100)</f>
        <v>0.95797222930696724</v>
      </c>
      <c r="R5" s="32">
        <f>VLOOKUP($A5,'EBA2017'!$A:$Z,24,FALSE)</f>
        <v>0.5</v>
      </c>
      <c r="S5" s="1">
        <f>VLOOKUP($A5,'EBA2017'!$A:$Z,25,FALSE)</f>
        <v>5</v>
      </c>
      <c r="T5" s="1">
        <f>VLOOKUP($A5,'EBA2017'!$A:$Z,26,FALSE)</f>
        <v>5</v>
      </c>
      <c r="U5" s="32">
        <f>IF(R5="No Data","No Data",R5/(5-IF(R5&lt;5,VLOOKUP($A5,'Data Gaps'!$A:$N,9,FALSE),0)))</f>
        <v>0.1</v>
      </c>
      <c r="V5" s="1">
        <f>IF(S5="No Data", "No Data",S5/(8-IF(S5&lt;8,VLOOKUP($A5,'Data Gaps'!$A:$N,10,FALSE),0)))</f>
        <v>0.625</v>
      </c>
      <c r="W5" s="1">
        <f>IF(T5="No Data","No Data",T5/(5-IF(T5&lt;5,VLOOKUP($A5,'Data Gaps'!$A:$N,11,FALSE),0)))</f>
        <v>1</v>
      </c>
      <c r="X5" s="40">
        <f>100*AVERAGE(L5,Q5,U5,V5,W5)</f>
        <v>53.659444586139351</v>
      </c>
    </row>
    <row r="6" spans="1:24" x14ac:dyDescent="0.35">
      <c r="A6" s="1" t="s">
        <v>23</v>
      </c>
      <c r="B6" s="28" t="s">
        <v>24</v>
      </c>
      <c r="C6" s="1" t="s">
        <v>7</v>
      </c>
      <c r="D6" s="1" t="s">
        <v>8</v>
      </c>
      <c r="E6" s="29" t="s">
        <v>25</v>
      </c>
      <c r="F6" s="28" t="s">
        <v>161</v>
      </c>
      <c r="G6" s="28" t="str">
        <f>VLOOKUP($A6,'EBA2017'!$A:$G,7,FALSE)</f>
        <v>One</v>
      </c>
      <c r="H6" s="32" t="str">
        <f>VLOOKUP($A6,'EBA2017'!$A:$AE,27,FALSE)</f>
        <v>N/A</v>
      </c>
      <c r="I6" s="28">
        <f t="shared" ref="I6:I66" si="0">IF(H6="No data","No data",IF(OR(H6="No practice",H6="N/A",H6&gt;$H$2),0,($H$2-H6)/($H$2-$H$3)*100))</f>
        <v>0</v>
      </c>
      <c r="J6" s="1" t="str">
        <f>VLOOKUP($A6,'EBA2017'!$A:$AE,28,FALSE)</f>
        <v>N/A</v>
      </c>
      <c r="K6" s="28">
        <f t="shared" ref="K6:K66" si="1">IF(J6="No data","No data",IF(OR(J6="No practice",J6="N/A",J6&gt;$J$2),0,($J$2-J6)/($J$2-$J$3)*100))</f>
        <v>0</v>
      </c>
      <c r="L6" s="28">
        <f t="shared" ref="L6:L66" si="2">IF(AND(I6="N/A",K6="N/A"),"N/A",IF(AND(I6="No data",K6="No data"),"No data",AVERAGE(I6,K6)/100))</f>
        <v>0</v>
      </c>
      <c r="M6" s="32">
        <f>VLOOKUP($A6,'EBA2017'!$A:$AE,29,FALSE)</f>
        <v>7</v>
      </c>
      <c r="N6" s="28">
        <f t="shared" ref="N6:N66" si="3">IF(M6="No data","No data",IF(OR(M6="No practice",M6="N/A",M6&gt;$M$2),0,($M$2-M6)/($M$2-$M$3)*100))</f>
        <v>76.923076923076877</v>
      </c>
      <c r="O6" s="1">
        <f>VLOOKUP($A6,'EBA2017'!$A:$AE,30,FALSE)</f>
        <v>13.371292804896543</v>
      </c>
      <c r="P6" s="28">
        <f t="shared" ref="P6:P66" si="4">IF(O6="No data","No data",IF(OR(O6="No practice",O6="N/A",O6&gt;$O$2),0,($O$2-O6)/($O$2-$O$3)*100))</f>
        <v>63.889692145260128</v>
      </c>
      <c r="Q6" s="28">
        <f t="shared" ref="Q6:Q66" si="5">IF(AND(N6="No data",P6="No data"),"No data",AVERAGE(N6,P6)/100)</f>
        <v>0.70406384534168498</v>
      </c>
      <c r="R6" s="32">
        <f>VLOOKUP($A6,'EBA2017'!$A:$Z,24,FALSE)</f>
        <v>1</v>
      </c>
      <c r="S6" s="1">
        <f>VLOOKUP($A6,'EBA2017'!$A:$Z,25,FALSE)</f>
        <v>5.3333333333333321</v>
      </c>
      <c r="T6" s="1">
        <f>VLOOKUP($A6,'EBA2017'!$A:$Z,26,FALSE)</f>
        <v>5</v>
      </c>
      <c r="U6" s="32">
        <f>IF(R6="No Data","No Data",R6/(5-IF(R6&lt;5,VLOOKUP($A6,'Data Gaps'!$A:$N,9,FALSE),0)))</f>
        <v>0.2</v>
      </c>
      <c r="V6" s="1">
        <f>IF(S6="No Data", "No Data",S6/(8-IF(S6&lt;8,VLOOKUP($A6,'Data Gaps'!$A:$N,10,FALSE),0)))</f>
        <v>0.66666666666666652</v>
      </c>
      <c r="W6" s="1">
        <f>IF(T6="No Data","No Data",T6/(5-IF(T6&lt;5,VLOOKUP($A6,'Data Gaps'!$A:$N,11,FALSE),0)))</f>
        <v>1</v>
      </c>
      <c r="X6" s="40">
        <f t="shared" ref="X6:X66" si="6">100*AVERAGE(L6,Q6,U6,V6,W6)</f>
        <v>51.414610240167022</v>
      </c>
    </row>
    <row r="7" spans="1:24" x14ac:dyDescent="0.35">
      <c r="A7" s="1" t="s">
        <v>36</v>
      </c>
      <c r="B7" s="28" t="s">
        <v>37</v>
      </c>
      <c r="C7" s="1" t="s">
        <v>38</v>
      </c>
      <c r="D7" s="1" t="s">
        <v>39</v>
      </c>
      <c r="E7" s="29" t="s">
        <v>40</v>
      </c>
      <c r="F7" s="28" t="s">
        <v>159</v>
      </c>
      <c r="G7" s="28" t="str">
        <f>VLOOKUP($A7,'EBA2017'!$A:$G,7,FALSE)</f>
        <v>One</v>
      </c>
      <c r="H7" s="32" t="str">
        <f>VLOOKUP($A7,'EBA2017'!$A:$AE,27,FALSE)</f>
        <v>N/A</v>
      </c>
      <c r="I7" s="28">
        <f t="shared" si="0"/>
        <v>0</v>
      </c>
      <c r="J7" s="1" t="str">
        <f>VLOOKUP($A7,'EBA2017'!$A:$AE,28,FALSE)</f>
        <v>N/A</v>
      </c>
      <c r="K7" s="28">
        <f t="shared" si="1"/>
        <v>0</v>
      </c>
      <c r="L7" s="28">
        <f t="shared" si="2"/>
        <v>0</v>
      </c>
      <c r="M7" s="32">
        <f>VLOOKUP($A7,'EBA2017'!$A:$AE,29,FALSE)</f>
        <v>4</v>
      </c>
      <c r="N7" s="28">
        <f t="shared" si="3"/>
        <v>88.461538461538453</v>
      </c>
      <c r="O7" s="1">
        <f>VLOOKUP($A7,'EBA2017'!$A:$AE,30,FALSE)</f>
        <v>0.57098356697200725</v>
      </c>
      <c r="P7" s="28">
        <f t="shared" si="4"/>
        <v>98.520896030169553</v>
      </c>
      <c r="Q7" s="28">
        <f t="shared" si="5"/>
        <v>0.93491217245854008</v>
      </c>
      <c r="R7" s="32">
        <f>VLOOKUP($A7,'EBA2017'!$A:$Z,24,FALSE)</f>
        <v>4</v>
      </c>
      <c r="S7" s="1">
        <f>VLOOKUP($A7,'EBA2017'!$A:$Z,25,FALSE)</f>
        <v>0</v>
      </c>
      <c r="T7" s="1">
        <f>VLOOKUP($A7,'EBA2017'!$A:$Z,26,FALSE)</f>
        <v>5</v>
      </c>
      <c r="U7" s="32">
        <f>IF(R7="No Data","No Data",R7/(5-IF(R7&lt;5,VLOOKUP($A7,'Data Gaps'!$A:$N,9,FALSE),0)))</f>
        <v>0.8</v>
      </c>
      <c r="V7" s="1">
        <f>IF(S7="No Data", "No Data",S7/(8-IF(S7&lt;8,VLOOKUP($A7,'Data Gaps'!$A:$N,10,FALSE),0)))</f>
        <v>0</v>
      </c>
      <c r="W7" s="1">
        <f>IF(T7="No Data","No Data",T7/(5-IF(T7&lt;5,VLOOKUP($A7,'Data Gaps'!$A:$N,11,FALSE),0)))</f>
        <v>1</v>
      </c>
      <c r="X7" s="40">
        <f t="shared" si="6"/>
        <v>54.698243449170803</v>
      </c>
    </row>
    <row r="8" spans="1:24" x14ac:dyDescent="0.35">
      <c r="A8" s="1" t="s">
        <v>45</v>
      </c>
      <c r="B8" s="28" t="s">
        <v>46</v>
      </c>
      <c r="C8" s="1" t="s">
        <v>38</v>
      </c>
      <c r="D8" s="1" t="s">
        <v>39</v>
      </c>
      <c r="E8" s="29" t="s">
        <v>40</v>
      </c>
      <c r="F8" s="28" t="s">
        <v>162</v>
      </c>
      <c r="G8" s="28" t="str">
        <f>VLOOKUP($A8,'EBA2017'!$A:$G,7,FALSE)</f>
        <v>One</v>
      </c>
      <c r="H8" s="32" t="str">
        <f>VLOOKUP($A8,'EBA2017'!$A:$AE,27,FALSE)</f>
        <v>No data</v>
      </c>
      <c r="I8" s="28" t="str">
        <f t="shared" si="0"/>
        <v>No data</v>
      </c>
      <c r="J8" s="1" t="str">
        <f>VLOOKUP($A8,'EBA2017'!$A:$AE,28,FALSE)</f>
        <v>No data</v>
      </c>
      <c r="K8" s="28" t="str">
        <f t="shared" si="1"/>
        <v>No data</v>
      </c>
      <c r="L8" s="28" t="str">
        <f t="shared" si="2"/>
        <v>No data</v>
      </c>
      <c r="M8" s="32" t="str">
        <f>VLOOKUP($A8,'EBA2017'!$A:$AE,29,FALSE)</f>
        <v>No data</v>
      </c>
      <c r="N8" s="28" t="str">
        <f t="shared" si="3"/>
        <v>No data</v>
      </c>
      <c r="O8" s="1">
        <f>VLOOKUP($A8,'EBA2017'!$A:$AE,30,FALSE)</f>
        <v>0.10595729031992933</v>
      </c>
      <c r="P8" s="28">
        <f t="shared" si="4"/>
        <v>99.779023431565804</v>
      </c>
      <c r="Q8" s="28">
        <f t="shared" si="5"/>
        <v>0.99779023431565805</v>
      </c>
      <c r="R8" s="32">
        <f>VLOOKUP($A8,'EBA2017'!$A:$Z,24,FALSE)</f>
        <v>2</v>
      </c>
      <c r="S8" s="1">
        <f>VLOOKUP($A8,'EBA2017'!$A:$Z,25,FALSE)</f>
        <v>7</v>
      </c>
      <c r="T8" s="1">
        <f>VLOOKUP($A8,'EBA2017'!$A:$Z,26,FALSE)</f>
        <v>5</v>
      </c>
      <c r="U8" s="32">
        <f>IF(R8="No Data","No Data",R8/(5-IF(R8&lt;5,VLOOKUP($A8,'Data Gaps'!$A:$N,9,FALSE),0)))</f>
        <v>0.4</v>
      </c>
      <c r="V8" s="1">
        <f>IF(S8="No Data", "No Data",S8/(8-IF(S8&lt;8,VLOOKUP($A8,'Data Gaps'!$A:$N,10,FALSE),0)))</f>
        <v>0.875</v>
      </c>
      <c r="W8" s="1">
        <f>IF(T8="No Data","No Data",T8/(5-IF(T8&lt;5,VLOOKUP($A8,'Data Gaps'!$A:$N,11,FALSE),0)))</f>
        <v>1</v>
      </c>
      <c r="X8" s="40">
        <f t="shared" si="6"/>
        <v>81.819755857891451</v>
      </c>
    </row>
    <row r="9" spans="1:24" x14ac:dyDescent="0.35">
      <c r="A9" s="1" t="s">
        <v>120</v>
      </c>
      <c r="B9" s="28" t="s">
        <v>121</v>
      </c>
      <c r="C9" s="1" t="s">
        <v>38</v>
      </c>
      <c r="D9" s="1" t="s">
        <v>39</v>
      </c>
      <c r="E9" s="29" t="s">
        <v>40</v>
      </c>
      <c r="F9" s="28" t="s">
        <v>159</v>
      </c>
      <c r="G9" s="28" t="str">
        <f>VLOOKUP($A9,'EBA2017'!$A:$G,7,FALSE)</f>
        <v>One</v>
      </c>
      <c r="H9" s="32">
        <f>VLOOKUP($A9,'EBA2017'!$A:$AE,27,FALSE)</f>
        <v>451</v>
      </c>
      <c r="I9" s="28">
        <f t="shared" si="0"/>
        <v>0</v>
      </c>
      <c r="J9" s="1">
        <f>VLOOKUP($A9,'EBA2017'!$A:$AE,28,FALSE)</f>
        <v>32.234146513647268</v>
      </c>
      <c r="K9" s="28">
        <f t="shared" si="1"/>
        <v>94.331243745364276</v>
      </c>
      <c r="L9" s="28">
        <f t="shared" si="2"/>
        <v>0.4716562187268214</v>
      </c>
      <c r="M9" s="32">
        <f>VLOOKUP($A9,'EBA2017'!$A:$AE,29,FALSE)</f>
        <v>5</v>
      </c>
      <c r="N9" s="28">
        <f t="shared" si="3"/>
        <v>84.615384615384599</v>
      </c>
      <c r="O9" s="1">
        <f>VLOOKUP($A9,'EBA2017'!$A:$AE,30,FALSE)</f>
        <v>0.64468293027294532</v>
      </c>
      <c r="P9" s="28">
        <f t="shared" si="4"/>
        <v>98.321502591368812</v>
      </c>
      <c r="Q9" s="28">
        <f t="shared" si="5"/>
        <v>0.91468443603376703</v>
      </c>
      <c r="R9" s="32">
        <f>VLOOKUP($A9,'EBA2017'!$A:$Z,24,FALSE)</f>
        <v>4.5</v>
      </c>
      <c r="S9" s="1">
        <f>VLOOKUP($A9,'EBA2017'!$A:$Z,25,FALSE)</f>
        <v>7</v>
      </c>
      <c r="T9" s="1">
        <f>VLOOKUP($A9,'EBA2017'!$A:$Z,26,FALSE)</f>
        <v>5</v>
      </c>
      <c r="U9" s="32">
        <f>IF(R9="No Data","No Data",R9/(5-IF(R9&lt;5,VLOOKUP($A9,'Data Gaps'!$A:$N,9,FALSE),0)))</f>
        <v>0.9</v>
      </c>
      <c r="V9" s="1">
        <f>IF(S9="No Data", "No Data",S9/(8-IF(S9&lt;8,VLOOKUP($A9,'Data Gaps'!$A:$N,10,FALSE),0)))</f>
        <v>0.875</v>
      </c>
      <c r="W9" s="1">
        <f>IF(T9="No Data","No Data",T9/(5-IF(T9&lt;5,VLOOKUP($A9,'Data Gaps'!$A:$N,11,FALSE),0)))</f>
        <v>1</v>
      </c>
      <c r="X9" s="40">
        <f t="shared" si="6"/>
        <v>83.226813095211753</v>
      </c>
    </row>
    <row r="10" spans="1:24" x14ac:dyDescent="0.35">
      <c r="A10" s="1" t="s">
        <v>53</v>
      </c>
      <c r="B10" s="28" t="s">
        <v>54</v>
      </c>
      <c r="C10" s="1" t="s">
        <v>7</v>
      </c>
      <c r="D10" s="1" t="s">
        <v>8</v>
      </c>
      <c r="E10" s="29" t="s">
        <v>25</v>
      </c>
      <c r="F10" s="28" t="s">
        <v>162</v>
      </c>
      <c r="G10" s="28" t="str">
        <f>VLOOKUP($A10,'EBA2017'!$A:$G,7,FALSE)</f>
        <v>One</v>
      </c>
      <c r="H10" s="32" t="str">
        <f>VLOOKUP($A10,'EBA2017'!$A:$AE,27,FALSE)</f>
        <v>N/A</v>
      </c>
      <c r="I10" s="28">
        <f t="shared" si="0"/>
        <v>0</v>
      </c>
      <c r="J10" s="1" t="str">
        <f>VLOOKUP($A10,'EBA2017'!$A:$AE,28,FALSE)</f>
        <v>N/A</v>
      </c>
      <c r="K10" s="28">
        <f t="shared" si="1"/>
        <v>0</v>
      </c>
      <c r="L10" s="28">
        <f t="shared" si="2"/>
        <v>0</v>
      </c>
      <c r="M10" s="32">
        <f>VLOOKUP($A10,'EBA2017'!$A:$AE,29,FALSE)</f>
        <v>1</v>
      </c>
      <c r="N10" s="28">
        <f t="shared" si="3"/>
        <v>100</v>
      </c>
      <c r="O10" s="1">
        <f>VLOOKUP($A10,'EBA2017'!$A:$AE,30,FALSE)</f>
        <v>0.73989608745436197</v>
      </c>
      <c r="P10" s="28">
        <f t="shared" si="4"/>
        <v>98.063903638282085</v>
      </c>
      <c r="Q10" s="28">
        <f t="shared" si="5"/>
        <v>0.9903195181914104</v>
      </c>
      <c r="R10" s="32">
        <f>VLOOKUP($A10,'EBA2017'!$A:$Z,24,FALSE)</f>
        <v>0.5</v>
      </c>
      <c r="S10" s="1">
        <f>VLOOKUP($A10,'EBA2017'!$A:$Z,25,FALSE)</f>
        <v>0</v>
      </c>
      <c r="T10" s="1">
        <f>VLOOKUP($A10,'EBA2017'!$A:$Z,26,FALSE)</f>
        <v>5</v>
      </c>
      <c r="U10" s="32">
        <f>IF(R10="No Data","No Data",R10/(5-IF(R10&lt;5,VLOOKUP($A10,'Data Gaps'!$A:$N,9,FALSE),0)))</f>
        <v>0.1</v>
      </c>
      <c r="V10" s="1">
        <f>IF(S10="No Data", "No Data",S10/(8-IF(S10&lt;8,VLOOKUP($A10,'Data Gaps'!$A:$N,10,FALSE),0)))</f>
        <v>0</v>
      </c>
      <c r="W10" s="1">
        <f>IF(T10="No Data","No Data",T10/(5-IF(T10&lt;5,VLOOKUP($A10,'Data Gaps'!$A:$N,11,FALSE),0)))</f>
        <v>1</v>
      </c>
      <c r="X10" s="40">
        <f t="shared" si="6"/>
        <v>41.806390363828214</v>
      </c>
    </row>
    <row r="11" spans="1:24" x14ac:dyDescent="0.35">
      <c r="A11" s="1" t="s">
        <v>57</v>
      </c>
      <c r="B11" s="28" t="s">
        <v>58</v>
      </c>
      <c r="C11" s="1" t="s">
        <v>38</v>
      </c>
      <c r="D11" s="1" t="s">
        <v>39</v>
      </c>
      <c r="E11" s="29" t="s">
        <v>40</v>
      </c>
      <c r="F11" s="28" t="s">
        <v>159</v>
      </c>
      <c r="G11" s="28" t="str">
        <f>VLOOKUP($A11,'EBA2017'!$A:$G,7,FALSE)</f>
        <v>One</v>
      </c>
      <c r="H11" s="32">
        <f>VLOOKUP($A11,'EBA2017'!$A:$AE,27,FALSE)</f>
        <v>35</v>
      </c>
      <c r="I11" s="28">
        <f t="shared" si="0"/>
        <v>88.729321941465187</v>
      </c>
      <c r="J11" s="1">
        <f>VLOOKUP($A11,'EBA2017'!$A:$AE,28,FALSE)</f>
        <v>1.2247539564942431</v>
      </c>
      <c r="K11" s="28">
        <f t="shared" si="1"/>
        <v>99.864209710729895</v>
      </c>
      <c r="L11" s="28">
        <f t="shared" si="2"/>
        <v>0.94296765826097539</v>
      </c>
      <c r="M11" s="32">
        <f>VLOOKUP($A11,'EBA2017'!$A:$AE,29,FALSE)</f>
        <v>3.5</v>
      </c>
      <c r="N11" s="28">
        <f t="shared" si="3"/>
        <v>90.384615384615373</v>
      </c>
      <c r="O11" s="1">
        <f>VLOOKUP($A11,'EBA2017'!$A:$AE,30,FALSE)</f>
        <v>6.123769782471216E-2</v>
      </c>
      <c r="P11" s="28">
        <f t="shared" si="4"/>
        <v>99.900012174616123</v>
      </c>
      <c r="Q11" s="28">
        <f t="shared" si="5"/>
        <v>0.9514231377961575</v>
      </c>
      <c r="R11" s="32">
        <f>VLOOKUP($A11,'EBA2017'!$A:$Z,24,FALSE)</f>
        <v>2</v>
      </c>
      <c r="S11" s="1">
        <f>VLOOKUP($A11,'EBA2017'!$A:$Z,25,FALSE)</f>
        <v>7</v>
      </c>
      <c r="T11" s="1">
        <f>VLOOKUP($A11,'EBA2017'!$A:$Z,26,FALSE)</f>
        <v>5</v>
      </c>
      <c r="U11" s="32">
        <f>IF(R11="No Data","No Data",R11/(5-IF(R11&lt;5,VLOOKUP($A11,'Data Gaps'!$A:$N,9,FALSE),0)))</f>
        <v>0.4</v>
      </c>
      <c r="V11" s="1">
        <f>IF(S11="No Data", "No Data",S11/(8-IF(S11&lt;8,VLOOKUP($A11,'Data Gaps'!$A:$N,10,FALSE),0)))</f>
        <v>0.875</v>
      </c>
      <c r="W11" s="1">
        <f>IF(T11="No Data","No Data",T11/(5-IF(T11&lt;5,VLOOKUP($A11,'Data Gaps'!$A:$N,11,FALSE),0)))</f>
        <v>1</v>
      </c>
      <c r="X11" s="40">
        <f t="shared" si="6"/>
        <v>83.387815921142661</v>
      </c>
    </row>
    <row r="12" spans="1:24" x14ac:dyDescent="0.35">
      <c r="A12" s="1" t="s">
        <v>64</v>
      </c>
      <c r="B12" s="28" t="s">
        <v>65</v>
      </c>
      <c r="C12" s="1" t="s">
        <v>38</v>
      </c>
      <c r="D12" s="1" t="s">
        <v>39</v>
      </c>
      <c r="E12" s="28" t="s">
        <v>40</v>
      </c>
      <c r="F12" s="28" t="s">
        <v>159</v>
      </c>
      <c r="G12" s="28" t="str">
        <f>VLOOKUP($A12,'EBA2017'!$A:$G,7,FALSE)</f>
        <v>One</v>
      </c>
      <c r="H12" s="32">
        <f>VLOOKUP($A12,'EBA2017'!$A:$AE,27,FALSE)</f>
        <v>170</v>
      </c>
      <c r="I12" s="28">
        <f t="shared" si="0"/>
        <v>39.647336847845871</v>
      </c>
      <c r="J12" s="1" t="str">
        <f>VLOOKUP($A12,'EBA2017'!$A:$AE,28,FALSE)</f>
        <v>No data</v>
      </c>
      <c r="K12" s="28" t="str">
        <f t="shared" si="1"/>
        <v>No data</v>
      </c>
      <c r="L12" s="28">
        <f t="shared" si="2"/>
        <v>0.39647336847845871</v>
      </c>
      <c r="M12" s="32">
        <f>VLOOKUP($A12,'EBA2017'!$A:$AE,29,FALSE)</f>
        <v>6</v>
      </c>
      <c r="N12" s="28">
        <f t="shared" si="3"/>
        <v>80.769230769230731</v>
      </c>
      <c r="O12" s="1">
        <f>VLOOKUP($A12,'EBA2017'!$A:$AE,30,FALSE)</f>
        <v>0.37206652987495276</v>
      </c>
      <c r="P12" s="28">
        <f t="shared" si="4"/>
        <v>99.059065564971149</v>
      </c>
      <c r="Q12" s="28">
        <f t="shared" si="5"/>
        <v>0.89914148167100938</v>
      </c>
      <c r="R12" s="32">
        <f>VLOOKUP($A12,'EBA2017'!$A:$Z,24,FALSE)</f>
        <v>2</v>
      </c>
      <c r="S12" s="1">
        <f>VLOOKUP($A12,'EBA2017'!$A:$Z,25,FALSE)</f>
        <v>7</v>
      </c>
      <c r="T12" s="1">
        <f>VLOOKUP($A12,'EBA2017'!$A:$Z,26,FALSE)</f>
        <v>5</v>
      </c>
      <c r="U12" s="32">
        <f>IF(R12="No Data","No Data",R12/(5-IF(R12&lt;5,VLOOKUP($A12,'Data Gaps'!$A:$N,9,FALSE),0)))</f>
        <v>0.4</v>
      </c>
      <c r="V12" s="1">
        <f>IF(S12="No Data", "No Data",S12/(8-IF(S12&lt;8,VLOOKUP($A12,'Data Gaps'!$A:$N,10,FALSE),0)))</f>
        <v>0.875</v>
      </c>
      <c r="W12" s="1">
        <f>IF(T12="No Data","No Data",T12/(5-IF(T12&lt;5,VLOOKUP($A12,'Data Gaps'!$A:$N,11,FALSE),0)))</f>
        <v>1</v>
      </c>
      <c r="X12" s="40">
        <f t="shared" si="6"/>
        <v>71.412297002989362</v>
      </c>
    </row>
    <row r="13" spans="1:24" x14ac:dyDescent="0.35">
      <c r="A13" s="1" t="s">
        <v>68</v>
      </c>
      <c r="B13" s="28" t="s">
        <v>69</v>
      </c>
      <c r="C13" s="1" t="s">
        <v>7</v>
      </c>
      <c r="D13" s="1" t="s">
        <v>8</v>
      </c>
      <c r="E13" s="28" t="s">
        <v>25</v>
      </c>
      <c r="F13" s="28" t="s">
        <v>162</v>
      </c>
      <c r="G13" s="28" t="str">
        <f>VLOOKUP($A13,'EBA2017'!$A:$G,7,FALSE)</f>
        <v>One</v>
      </c>
      <c r="H13" s="32">
        <f>VLOOKUP($A13,'EBA2017'!$A:$AE,27,FALSE)</f>
        <v>15</v>
      </c>
      <c r="I13" s="28">
        <f t="shared" si="0"/>
        <v>96.000727140519899</v>
      </c>
      <c r="J13" s="1">
        <f>VLOOKUP($A13,'EBA2017'!$A:$AE,28,FALSE)</f>
        <v>6.868576583408295</v>
      </c>
      <c r="K13" s="28">
        <f t="shared" si="1"/>
        <v>98.857189710201951</v>
      </c>
      <c r="L13" s="28">
        <f t="shared" si="2"/>
        <v>0.97428958425360923</v>
      </c>
      <c r="M13" s="32">
        <f>VLOOKUP($A13,'EBA2017'!$A:$AE,29,FALSE)</f>
        <v>10</v>
      </c>
      <c r="N13" s="28">
        <f t="shared" si="3"/>
        <v>65.38461538461533</v>
      </c>
      <c r="O13" s="1">
        <f>VLOOKUP($A13,'EBA2017'!$A:$AE,30,FALSE)</f>
        <v>2.4280418222348318E-2</v>
      </c>
      <c r="P13" s="28">
        <f t="shared" si="4"/>
        <v>100</v>
      </c>
      <c r="Q13" s="28">
        <f t="shared" si="5"/>
        <v>0.82692307692307665</v>
      </c>
      <c r="R13" s="32">
        <f>VLOOKUP($A13,'EBA2017'!$A:$Z,24,FALSE)</f>
        <v>2.5</v>
      </c>
      <c r="S13" s="1">
        <f>VLOOKUP($A13,'EBA2017'!$A:$Z,25,FALSE)</f>
        <v>6.1666666666666661</v>
      </c>
      <c r="T13" s="1">
        <f>VLOOKUP($A13,'EBA2017'!$A:$Z,26,FALSE)</f>
        <v>5</v>
      </c>
      <c r="U13" s="32">
        <f>IF(R13="No Data","No Data",R13/(5-IF(R13&lt;5,VLOOKUP($A13,'Data Gaps'!$A:$N,9,FALSE),0)))</f>
        <v>0.5</v>
      </c>
      <c r="V13" s="1">
        <f>IF(S13="No Data", "No Data",S13/(8-IF(S13&lt;8,VLOOKUP($A13,'Data Gaps'!$A:$N,10,FALSE),0)))</f>
        <v>0.77083333333333326</v>
      </c>
      <c r="W13" s="1">
        <f>IF(T13="No Data","No Data",T13/(5-IF(T13&lt;5,VLOOKUP($A13,'Data Gaps'!$A:$N,11,FALSE),0)))</f>
        <v>1</v>
      </c>
      <c r="X13" s="40">
        <f t="shared" si="6"/>
        <v>81.440919890200391</v>
      </c>
    </row>
    <row r="14" spans="1:24" x14ac:dyDescent="0.35">
      <c r="A14" s="1" t="s">
        <v>74</v>
      </c>
      <c r="B14" s="28" t="s">
        <v>75</v>
      </c>
      <c r="C14" s="1" t="s">
        <v>7</v>
      </c>
      <c r="D14" s="1" t="s">
        <v>8</v>
      </c>
      <c r="E14" s="28" t="s">
        <v>9</v>
      </c>
      <c r="F14" s="28" t="s">
        <v>161</v>
      </c>
      <c r="G14" s="28" t="str">
        <f>VLOOKUP($A14,'EBA2017'!$A:$G,7,FALSE)</f>
        <v>One</v>
      </c>
      <c r="H14" s="32" t="str">
        <f>VLOOKUP($A14,'EBA2017'!$A:$AE,27,FALSE)</f>
        <v>No practice</v>
      </c>
      <c r="I14" s="28">
        <f t="shared" si="0"/>
        <v>0</v>
      </c>
      <c r="J14" s="1" t="str">
        <f>VLOOKUP($A14,'EBA2017'!$A:$AE,28,FALSE)</f>
        <v>No practice</v>
      </c>
      <c r="K14" s="28">
        <f t="shared" si="1"/>
        <v>0</v>
      </c>
      <c r="L14" s="28">
        <f t="shared" si="2"/>
        <v>0</v>
      </c>
      <c r="M14" s="32">
        <f>VLOOKUP($A14,'EBA2017'!$A:$AE,29,FALSE)</f>
        <v>2</v>
      </c>
      <c r="N14" s="28">
        <f t="shared" si="3"/>
        <v>96.153846153846146</v>
      </c>
      <c r="O14" s="1">
        <f>VLOOKUP($A14,'EBA2017'!$A:$AE,30,FALSE)</f>
        <v>1.4627956578854862</v>
      </c>
      <c r="P14" s="28">
        <f t="shared" si="4"/>
        <v>96.108100700510803</v>
      </c>
      <c r="Q14" s="28">
        <f t="shared" si="5"/>
        <v>0.96130973427178479</v>
      </c>
      <c r="R14" s="32">
        <f>VLOOKUP($A14,'EBA2017'!$A:$Z,24,FALSE)</f>
        <v>3</v>
      </c>
      <c r="S14" s="1">
        <f>VLOOKUP($A14,'EBA2017'!$A:$Z,25,FALSE)</f>
        <v>5.5</v>
      </c>
      <c r="T14" s="1">
        <f>VLOOKUP($A14,'EBA2017'!$A:$Z,26,FALSE)</f>
        <v>5</v>
      </c>
      <c r="U14" s="32">
        <f>IF(R14="No Data","No Data",R14/(5-IF(R14&lt;5,VLOOKUP($A14,'Data Gaps'!$A:$N,9,FALSE),0)))</f>
        <v>0.6</v>
      </c>
      <c r="V14" s="1">
        <f>IF(S14="No Data", "No Data",S14/(8-IF(S14&lt;8,VLOOKUP($A14,'Data Gaps'!$A:$N,10,FALSE),0)))</f>
        <v>0.6875</v>
      </c>
      <c r="W14" s="1">
        <f>IF(T14="No Data","No Data",T14/(5-IF(T14&lt;5,VLOOKUP($A14,'Data Gaps'!$A:$N,11,FALSE),0)))</f>
        <v>1</v>
      </c>
      <c r="X14" s="40">
        <f t="shared" si="6"/>
        <v>64.976194685435701</v>
      </c>
    </row>
    <row r="15" spans="1:24" x14ac:dyDescent="0.35">
      <c r="A15" s="1" t="s">
        <v>72</v>
      </c>
      <c r="B15" s="28" t="s">
        <v>73</v>
      </c>
      <c r="C15" s="1" t="s">
        <v>38</v>
      </c>
      <c r="D15" s="1" t="s">
        <v>39</v>
      </c>
      <c r="E15" s="28" t="s">
        <v>40</v>
      </c>
      <c r="F15" s="28" t="s">
        <v>161</v>
      </c>
      <c r="G15" s="28" t="str">
        <f>VLOOKUP($A15,'EBA2017'!$A:$G,7,FALSE)</f>
        <v>One</v>
      </c>
      <c r="H15" s="32">
        <f>VLOOKUP($A15,'EBA2017'!$A:$AE,27,FALSE)</f>
        <v>45</v>
      </c>
      <c r="I15" s="28">
        <f t="shared" si="0"/>
        <v>85.093619341937838</v>
      </c>
      <c r="J15" s="1">
        <f>VLOOKUP($A15,'EBA2017'!$A:$AE,28,FALSE)</f>
        <v>7.9715513528791666</v>
      </c>
      <c r="K15" s="28">
        <f t="shared" si="1"/>
        <v>98.660387343019451</v>
      </c>
      <c r="L15" s="28">
        <f t="shared" si="2"/>
        <v>0.91877003342478647</v>
      </c>
      <c r="M15" s="32" t="str">
        <f>VLOOKUP($A15,'EBA2017'!$A:$AE,29,FALSE)</f>
        <v>N/A</v>
      </c>
      <c r="N15" s="28">
        <f t="shared" si="3"/>
        <v>0</v>
      </c>
      <c r="O15" s="1" t="str">
        <f>VLOOKUP($A15,'EBA2017'!$A:$AE,30,FALSE)</f>
        <v>N/A</v>
      </c>
      <c r="P15" s="28">
        <f t="shared" si="4"/>
        <v>0</v>
      </c>
      <c r="Q15" s="28">
        <f t="shared" si="5"/>
        <v>0</v>
      </c>
      <c r="R15" s="32">
        <f>VLOOKUP($A15,'EBA2017'!$A:$Z,24,FALSE)</f>
        <v>1</v>
      </c>
      <c r="S15" s="1">
        <f>VLOOKUP($A15,'EBA2017'!$A:$Z,25,FALSE)</f>
        <v>7</v>
      </c>
      <c r="T15" s="1">
        <f>VLOOKUP($A15,'EBA2017'!$A:$Z,26,FALSE)</f>
        <v>5</v>
      </c>
      <c r="U15" s="32">
        <f>IF(R15="No Data","No Data",R15/(5-IF(R15&lt;5,VLOOKUP($A15,'Data Gaps'!$A:$N,9,FALSE),0)))</f>
        <v>0.2</v>
      </c>
      <c r="V15" s="1">
        <f>IF(S15="No Data", "No Data",S15/(8-IF(S15&lt;8,VLOOKUP($A15,'Data Gaps'!$A:$N,10,FALSE),0)))</f>
        <v>0.875</v>
      </c>
      <c r="W15" s="1">
        <f>IF(T15="No Data","No Data",T15/(5-IF(T15&lt;5,VLOOKUP($A15,'Data Gaps'!$A:$N,11,FALSE),0)))</f>
        <v>1</v>
      </c>
      <c r="X15" s="40">
        <f t="shared" si="6"/>
        <v>59.875400668495729</v>
      </c>
    </row>
    <row r="16" spans="1:24" x14ac:dyDescent="0.35">
      <c r="A16" s="1" t="s">
        <v>78</v>
      </c>
      <c r="B16" s="28" t="s">
        <v>79</v>
      </c>
      <c r="C16" s="1" t="s">
        <v>16</v>
      </c>
      <c r="D16" s="1" t="s">
        <v>17</v>
      </c>
      <c r="E16" s="28" t="s">
        <v>18</v>
      </c>
      <c r="F16" s="28" t="s">
        <v>160</v>
      </c>
      <c r="G16" s="28" t="str">
        <f>VLOOKUP($A16,'EBA2017'!$A:$G,7,FALSE)</f>
        <v>One</v>
      </c>
      <c r="H16" s="32" t="str">
        <f>VLOOKUP($A16,'EBA2017'!$A:$AE,27,FALSE)</f>
        <v>N/A</v>
      </c>
      <c r="I16" s="28">
        <f t="shared" si="0"/>
        <v>0</v>
      </c>
      <c r="J16" s="1" t="str">
        <f>VLOOKUP($A16,'EBA2017'!$A:$AE,28,FALSE)</f>
        <v>N/A</v>
      </c>
      <c r="K16" s="28">
        <f t="shared" si="1"/>
        <v>0</v>
      </c>
      <c r="L16" s="28">
        <f t="shared" si="2"/>
        <v>0</v>
      </c>
      <c r="M16" s="32">
        <f>VLOOKUP($A16,'EBA2017'!$A:$AE,29,FALSE)</f>
        <v>5</v>
      </c>
      <c r="N16" s="28">
        <f t="shared" si="3"/>
        <v>84.615384615384599</v>
      </c>
      <c r="O16" s="1">
        <f>VLOOKUP($A16,'EBA2017'!$A:$AE,30,FALSE)</f>
        <v>92.10526315789474</v>
      </c>
      <c r="P16" s="28">
        <f t="shared" si="4"/>
        <v>0</v>
      </c>
      <c r="Q16" s="28">
        <f t="shared" si="5"/>
        <v>0.42307692307692302</v>
      </c>
      <c r="R16" s="32">
        <f>VLOOKUP($A16,'EBA2017'!$A:$Z,24,FALSE)</f>
        <v>1</v>
      </c>
      <c r="S16" s="1">
        <f>VLOOKUP($A16,'EBA2017'!$A:$Z,25,FALSE)</f>
        <v>0.33333333333333326</v>
      </c>
      <c r="T16" s="1">
        <f>VLOOKUP($A16,'EBA2017'!$A:$Z,26,FALSE)</f>
        <v>0</v>
      </c>
      <c r="U16" s="32">
        <f>IF(R16="No Data","No Data",R16/(5-IF(R16&lt;5,VLOOKUP($A16,'Data Gaps'!$A:$N,9,FALSE),0)))</f>
        <v>0.2</v>
      </c>
      <c r="V16" s="1">
        <f>IF(S16="No Data", "No Data",S16/(8-IF(S16&lt;8,VLOOKUP($A16,'Data Gaps'!$A:$N,10,FALSE),0)))</f>
        <v>4.1666666666666657E-2</v>
      </c>
      <c r="W16" s="1">
        <f>IF(T16="No Data","No Data",T16/(5-IF(T16&lt;5,VLOOKUP($A16,'Data Gaps'!$A:$N,11,FALSE),0)))</f>
        <v>0</v>
      </c>
      <c r="X16" s="40">
        <f t="shared" si="6"/>
        <v>13.294871794871794</v>
      </c>
    </row>
    <row r="17" spans="1:24" x14ac:dyDescent="0.35">
      <c r="A17" s="1" t="s">
        <v>84</v>
      </c>
      <c r="B17" s="28" t="s">
        <v>85</v>
      </c>
      <c r="C17" s="1" t="s">
        <v>16</v>
      </c>
      <c r="D17" s="1" t="s">
        <v>17</v>
      </c>
      <c r="E17" s="28" t="s">
        <v>18</v>
      </c>
      <c r="F17" s="28" t="s">
        <v>159</v>
      </c>
      <c r="G17" s="28" t="str">
        <f>VLOOKUP($A17,'EBA2017'!$A:$G,7,FALSE)</f>
        <v>One</v>
      </c>
      <c r="H17" s="32" t="str">
        <f>VLOOKUP($A17,'EBA2017'!$A:$AE,27,FALSE)</f>
        <v>N/A</v>
      </c>
      <c r="I17" s="28">
        <f t="shared" si="0"/>
        <v>0</v>
      </c>
      <c r="J17" s="1" t="str">
        <f>VLOOKUP($A17,'EBA2017'!$A:$AE,28,FALSE)</f>
        <v>N/A</v>
      </c>
      <c r="K17" s="28">
        <f t="shared" si="1"/>
        <v>0</v>
      </c>
      <c r="L17" s="28">
        <f t="shared" si="2"/>
        <v>0</v>
      </c>
      <c r="M17" s="32" t="str">
        <f>VLOOKUP($A17,'EBA2017'!$A:$AE,29,FALSE)</f>
        <v>N/A</v>
      </c>
      <c r="N17" s="28">
        <f t="shared" si="3"/>
        <v>0</v>
      </c>
      <c r="O17" s="1" t="str">
        <f>VLOOKUP($A17,'EBA2017'!$A:$AE,30,FALSE)</f>
        <v>N/A</v>
      </c>
      <c r="P17" s="28">
        <f t="shared" si="4"/>
        <v>0</v>
      </c>
      <c r="Q17" s="28">
        <f t="shared" si="5"/>
        <v>0</v>
      </c>
      <c r="R17" s="32">
        <f>VLOOKUP($A17,'EBA2017'!$A:$Z,24,FALSE)</f>
        <v>0</v>
      </c>
      <c r="S17" s="1">
        <f>VLOOKUP($A17,'EBA2017'!$A:$Z,25,FALSE)</f>
        <v>0.33333333333333326</v>
      </c>
      <c r="T17" s="1">
        <f>VLOOKUP($A17,'EBA2017'!$A:$Z,26,FALSE)</f>
        <v>2</v>
      </c>
      <c r="U17" s="32">
        <f>IF(R17="No Data","No Data",R17/(5-IF(R17&lt;5,VLOOKUP($A17,'Data Gaps'!$A:$N,9,FALSE),0)))</f>
        <v>0</v>
      </c>
      <c r="V17" s="1">
        <f>IF(S17="No Data", "No Data",S17/(8-IF(S17&lt;8,VLOOKUP($A17,'Data Gaps'!$A:$N,10,FALSE),0)))</f>
        <v>4.1666666666666657E-2</v>
      </c>
      <c r="W17" s="1">
        <f>IF(T17="No Data","No Data",T17/(5-IF(T17&lt;5,VLOOKUP($A17,'Data Gaps'!$A:$N,11,FALSE),0)))</f>
        <v>0.4</v>
      </c>
      <c r="X17" s="40">
        <f t="shared" si="6"/>
        <v>8.8333333333333339</v>
      </c>
    </row>
    <row r="18" spans="1:24" x14ac:dyDescent="0.35">
      <c r="A18" s="1" t="s">
        <v>96</v>
      </c>
      <c r="B18" s="28" t="s">
        <v>97</v>
      </c>
      <c r="C18" s="1" t="s">
        <v>38</v>
      </c>
      <c r="D18" s="1" t="s">
        <v>39</v>
      </c>
      <c r="E18" s="28" t="s">
        <v>40</v>
      </c>
      <c r="F18" s="28" t="s">
        <v>161</v>
      </c>
      <c r="G18" s="28" t="str">
        <f>VLOOKUP($A18,'EBA2017'!$A:$G,7,FALSE)</f>
        <v>One</v>
      </c>
      <c r="H18" s="32" t="str">
        <f>VLOOKUP($A18,'EBA2017'!$A:$AE,27,FALSE)</f>
        <v>No data</v>
      </c>
      <c r="I18" s="28" t="str">
        <f t="shared" si="0"/>
        <v>No data</v>
      </c>
      <c r="J18" s="1" t="str">
        <f>VLOOKUP($A18,'EBA2017'!$A:$AE,28,FALSE)</f>
        <v>No data</v>
      </c>
      <c r="K18" s="28" t="str">
        <f t="shared" si="1"/>
        <v>No data</v>
      </c>
      <c r="L18" s="28" t="str">
        <f t="shared" si="2"/>
        <v>No data</v>
      </c>
      <c r="M18" s="32">
        <f>VLOOKUP($A18,'EBA2017'!$A:$AE,29,FALSE)</f>
        <v>1</v>
      </c>
      <c r="N18" s="28">
        <f t="shared" si="3"/>
        <v>100</v>
      </c>
      <c r="O18" s="1">
        <f>VLOOKUP($A18,'EBA2017'!$A:$AE,30,FALSE)</f>
        <v>0.14991675291299597</v>
      </c>
      <c r="P18" s="28">
        <f t="shared" si="4"/>
        <v>99.660091218020455</v>
      </c>
      <c r="Q18" s="28">
        <f t="shared" si="5"/>
        <v>0.99830045609010232</v>
      </c>
      <c r="R18" s="32">
        <f>VLOOKUP($A18,'EBA2017'!$A:$Z,24,FALSE)</f>
        <v>2</v>
      </c>
      <c r="S18" s="1">
        <f>VLOOKUP($A18,'EBA2017'!$A:$Z,25,FALSE)</f>
        <v>7</v>
      </c>
      <c r="T18" s="1">
        <f>VLOOKUP($A18,'EBA2017'!$A:$Z,26,FALSE)</f>
        <v>5</v>
      </c>
      <c r="U18" s="32">
        <f>IF(R18="No Data","No Data",R18/(5-IF(R18&lt;5,VLOOKUP($A18,'Data Gaps'!$A:$N,9,FALSE),0)))</f>
        <v>0.4</v>
      </c>
      <c r="V18" s="1">
        <f>IF(S18="No Data", "No Data",S18/(8-IF(S18&lt;8,VLOOKUP($A18,'Data Gaps'!$A:$N,10,FALSE),0)))</f>
        <v>0.875</v>
      </c>
      <c r="W18" s="1">
        <f>IF(T18="No Data","No Data",T18/(5-IF(T18&lt;5,VLOOKUP($A18,'Data Gaps'!$A:$N,11,FALSE),0)))</f>
        <v>1</v>
      </c>
      <c r="X18" s="40">
        <f t="shared" si="6"/>
        <v>81.832511402252564</v>
      </c>
    </row>
    <row r="19" spans="1:24" x14ac:dyDescent="0.35">
      <c r="A19" s="1" t="s">
        <v>94</v>
      </c>
      <c r="B19" s="28" t="s">
        <v>95</v>
      </c>
      <c r="C19" s="1" t="s">
        <v>12</v>
      </c>
      <c r="D19" s="1" t="s">
        <v>13</v>
      </c>
      <c r="E19" s="28" t="s">
        <v>18</v>
      </c>
      <c r="F19" s="28" t="s">
        <v>160</v>
      </c>
      <c r="G19" s="28" t="str">
        <f>VLOOKUP($A19,'EBA2017'!$A:$G,7,FALSE)</f>
        <v>One</v>
      </c>
      <c r="H19" s="32" t="str">
        <f>VLOOKUP($A19,'EBA2017'!$A:$AE,27,FALSE)</f>
        <v>N/A</v>
      </c>
      <c r="I19" s="28">
        <f t="shared" si="0"/>
        <v>0</v>
      </c>
      <c r="J19" s="1" t="str">
        <f>VLOOKUP($A19,'EBA2017'!$A:$AE,28,FALSE)</f>
        <v>N/A</v>
      </c>
      <c r="K19" s="28">
        <f t="shared" si="1"/>
        <v>0</v>
      </c>
      <c r="L19" s="28">
        <f t="shared" si="2"/>
        <v>0</v>
      </c>
      <c r="M19" s="32">
        <f>VLOOKUP($A19,'EBA2017'!$A:$AE,29,FALSE)</f>
        <v>2</v>
      </c>
      <c r="N19" s="28">
        <f t="shared" si="3"/>
        <v>96.153846153846146</v>
      </c>
      <c r="O19" s="1">
        <f>VLOOKUP($A19,'EBA2017'!$A:$AE,30,FALSE)</f>
        <v>4.6193914877301419</v>
      </c>
      <c r="P19" s="28">
        <f t="shared" si="4"/>
        <v>87.567938761163006</v>
      </c>
      <c r="Q19" s="28">
        <f t="shared" si="5"/>
        <v>0.91860892457504573</v>
      </c>
      <c r="R19" s="32">
        <f>VLOOKUP($A19,'EBA2017'!$A:$Z,24,FALSE)</f>
        <v>3</v>
      </c>
      <c r="S19" s="1">
        <f>VLOOKUP($A19,'EBA2017'!$A:$Z,25,FALSE)</f>
        <v>0.33333333333333326</v>
      </c>
      <c r="T19" s="1">
        <f>VLOOKUP($A19,'EBA2017'!$A:$Z,26,FALSE)</f>
        <v>4</v>
      </c>
      <c r="U19" s="32">
        <f>IF(R19="No Data","No Data",R19/(5-IF(R19&lt;5,VLOOKUP($A19,'Data Gaps'!$A:$N,9,FALSE),0)))</f>
        <v>0.6</v>
      </c>
      <c r="V19" s="1">
        <f>IF(S19="No Data", "No Data",S19/(8-IF(S19&lt;8,VLOOKUP($A19,'Data Gaps'!$A:$N,10,FALSE),0)))</f>
        <v>4.1666666666666657E-2</v>
      </c>
      <c r="W19" s="1">
        <f>IF(T19="No Data","No Data",T19/(5-IF(T19&lt;5,VLOOKUP($A19,'Data Gaps'!$A:$N,11,FALSE),0)))</f>
        <v>0.8</v>
      </c>
      <c r="X19" s="40">
        <f t="shared" si="6"/>
        <v>47.205511824834254</v>
      </c>
    </row>
    <row r="20" spans="1:24" x14ac:dyDescent="0.35">
      <c r="A20" s="1" t="s">
        <v>104</v>
      </c>
      <c r="B20" s="28" t="s">
        <v>105</v>
      </c>
      <c r="C20" s="1" t="s">
        <v>21</v>
      </c>
      <c r="D20" s="1" t="s">
        <v>22</v>
      </c>
      <c r="E20" s="29" t="s">
        <v>25</v>
      </c>
      <c r="F20" s="28" t="s">
        <v>160</v>
      </c>
      <c r="G20" s="28" t="str">
        <f>VLOOKUP($A20,'EBA2017'!$A:$G,7,FALSE)</f>
        <v>One</v>
      </c>
      <c r="H20" s="32" t="str">
        <f>VLOOKUP($A20,'EBA2017'!$A:$AE,27,FALSE)</f>
        <v>N/A</v>
      </c>
      <c r="I20" s="28">
        <f t="shared" si="0"/>
        <v>0</v>
      </c>
      <c r="J20" s="1" t="str">
        <f>VLOOKUP($A20,'EBA2017'!$A:$AE,28,FALSE)</f>
        <v>N/A</v>
      </c>
      <c r="K20" s="28">
        <f t="shared" si="1"/>
        <v>0</v>
      </c>
      <c r="L20" s="28">
        <f t="shared" si="2"/>
        <v>0</v>
      </c>
      <c r="M20" s="32" t="str">
        <f>VLOOKUP($A20,'EBA2017'!$A:$AE,29,FALSE)</f>
        <v>N/A</v>
      </c>
      <c r="N20" s="28">
        <f t="shared" si="3"/>
        <v>0</v>
      </c>
      <c r="O20" s="1" t="str">
        <f>VLOOKUP($A20,'EBA2017'!$A:$AE,30,FALSE)</f>
        <v>N/A</v>
      </c>
      <c r="P20" s="28">
        <f t="shared" si="4"/>
        <v>0</v>
      </c>
      <c r="Q20" s="28">
        <f t="shared" si="5"/>
        <v>0</v>
      </c>
      <c r="R20" s="32">
        <f>VLOOKUP($A20,'EBA2017'!$A:$Z,24,FALSE)</f>
        <v>0</v>
      </c>
      <c r="S20" s="1">
        <f>VLOOKUP($A20,'EBA2017'!$A:$Z,25,FALSE)</f>
        <v>1</v>
      </c>
      <c r="T20" s="1">
        <f>VLOOKUP($A20,'EBA2017'!$A:$Z,26,FALSE)</f>
        <v>4</v>
      </c>
      <c r="U20" s="32">
        <f>IF(R20="No Data","No Data",R20/(5-IF(R20&lt;5,VLOOKUP($A20,'Data Gaps'!$A:$N,9,FALSE),0)))</f>
        <v>0</v>
      </c>
      <c r="V20" s="1">
        <f>IF(S20="No Data", "No Data",S20/(8-IF(S20&lt;8,VLOOKUP($A20,'Data Gaps'!$A:$N,10,FALSE),0)))</f>
        <v>0.125</v>
      </c>
      <c r="W20" s="1">
        <f>IF(T20="No Data","No Data",T20/(5-IF(T20&lt;5,VLOOKUP($A20,'Data Gaps'!$A:$N,11,FALSE),0)))</f>
        <v>0.8</v>
      </c>
      <c r="X20" s="40">
        <f t="shared" si="6"/>
        <v>18.5</v>
      </c>
    </row>
    <row r="21" spans="1:24" x14ac:dyDescent="0.35">
      <c r="A21" s="1" t="s">
        <v>108</v>
      </c>
      <c r="B21" s="28" t="s">
        <v>109</v>
      </c>
      <c r="C21" s="1" t="s">
        <v>38</v>
      </c>
      <c r="D21" s="1" t="s">
        <v>39</v>
      </c>
      <c r="E21" s="29" t="s">
        <v>40</v>
      </c>
      <c r="F21" s="28" t="s">
        <v>162</v>
      </c>
      <c r="G21" s="28" t="str">
        <f>VLOOKUP($A21,'EBA2017'!$A:$G,7,FALSE)</f>
        <v>One</v>
      </c>
      <c r="H21" s="32">
        <f>VLOOKUP($A21,'EBA2017'!$A:$AE,27,FALSE)</f>
        <v>60</v>
      </c>
      <c r="I21" s="28">
        <f t="shared" si="0"/>
        <v>79.640065442646801</v>
      </c>
      <c r="J21" s="1">
        <f>VLOOKUP($A21,'EBA2017'!$A:$AE,28,FALSE)</f>
        <v>220.48660291409848</v>
      </c>
      <c r="K21" s="28">
        <f t="shared" si="1"/>
        <v>60.741600470655676</v>
      </c>
      <c r="L21" s="28">
        <f t="shared" si="2"/>
        <v>0.70190832956651239</v>
      </c>
      <c r="M21" s="32">
        <f>VLOOKUP($A21,'EBA2017'!$A:$AE,29,FALSE)</f>
        <v>2</v>
      </c>
      <c r="N21" s="28">
        <f t="shared" si="3"/>
        <v>96.153846153846146</v>
      </c>
      <c r="O21" s="1">
        <f>VLOOKUP($A21,'EBA2017'!$A:$AE,30,FALSE)</f>
        <v>0.43716982832179735</v>
      </c>
      <c r="P21" s="28">
        <f t="shared" si="4"/>
        <v>98.882928757634247</v>
      </c>
      <c r="Q21" s="28">
        <f t="shared" si="5"/>
        <v>0.97518387455740196</v>
      </c>
      <c r="R21" s="32">
        <f>VLOOKUP($A21,'EBA2017'!$A:$Z,24,FALSE)</f>
        <v>5</v>
      </c>
      <c r="S21" s="1">
        <f>VLOOKUP($A21,'EBA2017'!$A:$Z,25,FALSE)</f>
        <v>7</v>
      </c>
      <c r="T21" s="1">
        <f>VLOOKUP($A21,'EBA2017'!$A:$Z,26,FALSE)</f>
        <v>5</v>
      </c>
      <c r="U21" s="32">
        <f>IF(R21="No Data","No Data",R21/(5-IF(R21&lt;5,VLOOKUP($A21,'Data Gaps'!$A:$N,9,FALSE),0)))</f>
        <v>1</v>
      </c>
      <c r="V21" s="1">
        <f>IF(S21="No Data", "No Data",S21/(8-IF(S21&lt;8,VLOOKUP($A21,'Data Gaps'!$A:$N,10,FALSE),0)))</f>
        <v>0.875</v>
      </c>
      <c r="W21" s="1">
        <f>IF(T21="No Data","No Data",T21/(5-IF(T21&lt;5,VLOOKUP($A21,'Data Gaps'!$A:$N,11,FALSE),0)))</f>
        <v>1</v>
      </c>
      <c r="X21" s="40">
        <f t="shared" si="6"/>
        <v>91.041844082478292</v>
      </c>
    </row>
    <row r="22" spans="1:24" x14ac:dyDescent="0.35">
      <c r="A22" s="1" t="s">
        <v>110</v>
      </c>
      <c r="B22" s="28" t="s">
        <v>111</v>
      </c>
      <c r="C22" s="1" t="s">
        <v>7</v>
      </c>
      <c r="D22" s="1" t="s">
        <v>8</v>
      </c>
      <c r="E22" s="29" t="s">
        <v>25</v>
      </c>
      <c r="F22" s="28" t="s">
        <v>162</v>
      </c>
      <c r="G22" s="28" t="str">
        <f>VLOOKUP($A22,'EBA2017'!$A:$G,7,FALSE)</f>
        <v>One</v>
      </c>
      <c r="H22" s="32">
        <f>VLOOKUP($A22,'EBA2017'!$A:$AE,27,FALSE)</f>
        <v>30</v>
      </c>
      <c r="I22" s="28">
        <f t="shared" si="0"/>
        <v>90.547173241228876</v>
      </c>
      <c r="J22" s="1">
        <f>VLOOKUP($A22,'EBA2017'!$A:$AE,28,FALSE)</f>
        <v>7.7053020092208628</v>
      </c>
      <c r="K22" s="28">
        <f t="shared" si="1"/>
        <v>98.707893870406167</v>
      </c>
      <c r="L22" s="28">
        <f t="shared" si="2"/>
        <v>0.94627533555817522</v>
      </c>
      <c r="M22" s="32">
        <f>VLOOKUP($A22,'EBA2017'!$A:$AE,29,FALSE)</f>
        <v>30</v>
      </c>
      <c r="N22" s="28">
        <f t="shared" si="3"/>
        <v>0</v>
      </c>
      <c r="O22" s="1">
        <f>VLOOKUP($A22,'EBA2017'!$A:$AE,30,FALSE)</f>
        <v>0.42723877602344446</v>
      </c>
      <c r="P22" s="28">
        <f t="shared" si="4"/>
        <v>98.909797194212103</v>
      </c>
      <c r="Q22" s="28">
        <f t="shared" si="5"/>
        <v>0.49454898597106051</v>
      </c>
      <c r="R22" s="32">
        <f>VLOOKUP($A22,'EBA2017'!$A:$Z,24,FALSE)</f>
        <v>5</v>
      </c>
      <c r="S22" s="1">
        <f>VLOOKUP($A22,'EBA2017'!$A:$Z,25,FALSE)</f>
        <v>8</v>
      </c>
      <c r="T22" s="1">
        <f>VLOOKUP($A22,'EBA2017'!$A:$Z,26,FALSE)</f>
        <v>5</v>
      </c>
      <c r="U22" s="32">
        <f>IF(R22="No Data","No Data",R22/(5-IF(R22&lt;5,VLOOKUP($A22,'Data Gaps'!$A:$N,9,FALSE),0)))</f>
        <v>1</v>
      </c>
      <c r="V22" s="1">
        <f>IF(S22="No Data", "No Data",S22/(8-IF(S22&lt;8,VLOOKUP($A22,'Data Gaps'!$A:$N,10,FALSE),0)))</f>
        <v>1</v>
      </c>
      <c r="W22" s="1">
        <f>IF(T22="No Data","No Data",T22/(5-IF(T22&lt;5,VLOOKUP($A22,'Data Gaps'!$A:$N,11,FALSE),0)))</f>
        <v>1</v>
      </c>
      <c r="X22" s="40">
        <f t="shared" si="6"/>
        <v>88.816486430584732</v>
      </c>
    </row>
    <row r="23" spans="1:24" x14ac:dyDescent="0.35">
      <c r="A23" s="1" t="s">
        <v>112</v>
      </c>
      <c r="B23" s="28" t="s">
        <v>113</v>
      </c>
      <c r="C23" s="1" t="s">
        <v>7</v>
      </c>
      <c r="D23" s="1" t="s">
        <v>8</v>
      </c>
      <c r="E23" s="29" t="s">
        <v>25</v>
      </c>
      <c r="F23" s="28" t="s">
        <v>162</v>
      </c>
      <c r="G23" s="28" t="str">
        <f>VLOOKUP($A23,'EBA2017'!$A:$G,7,FALSE)</f>
        <v>One</v>
      </c>
      <c r="H23" s="32">
        <f>VLOOKUP($A23,'EBA2017'!$A:$AE,27,FALSE)</f>
        <v>189</v>
      </c>
      <c r="I23" s="28">
        <f t="shared" si="0"/>
        <v>32.739501908743897</v>
      </c>
      <c r="J23" s="1">
        <f>VLOOKUP($A23,'EBA2017'!$A:$AE,28,FALSE)</f>
        <v>558.6251567345256</v>
      </c>
      <c r="K23" s="28">
        <f t="shared" si="1"/>
        <v>0.40797392772588442</v>
      </c>
      <c r="L23" s="28">
        <f t="shared" si="2"/>
        <v>0.1657373791823489</v>
      </c>
      <c r="M23" s="32">
        <f>VLOOKUP($A23,'EBA2017'!$A:$AE,29,FALSE)</f>
        <v>5</v>
      </c>
      <c r="N23" s="28">
        <f t="shared" si="3"/>
        <v>84.615384615384599</v>
      </c>
      <c r="O23" s="1">
        <f>VLOOKUP($A23,'EBA2017'!$A:$AE,30,FALSE)</f>
        <v>0.43758970610871162</v>
      </c>
      <c r="P23" s="28">
        <f t="shared" si="4"/>
        <v>98.881792779356303</v>
      </c>
      <c r="Q23" s="28">
        <f t="shared" si="5"/>
        <v>0.91748588697370448</v>
      </c>
      <c r="R23" s="32">
        <f>VLOOKUP($A23,'EBA2017'!$A:$Z,24,FALSE)</f>
        <v>3</v>
      </c>
      <c r="S23" s="1">
        <f>VLOOKUP($A23,'EBA2017'!$A:$Z,25,FALSE)</f>
        <v>6.1666666666666661</v>
      </c>
      <c r="T23" s="1">
        <f>VLOOKUP($A23,'EBA2017'!$A:$Z,26,FALSE)</f>
        <v>5</v>
      </c>
      <c r="U23" s="32">
        <f>IF(R23="No Data","No Data",R23/(5-IF(R23&lt;5,VLOOKUP($A23,'Data Gaps'!$A:$N,9,FALSE),0)))</f>
        <v>0.6</v>
      </c>
      <c r="V23" s="1">
        <f>IF(S23="No Data", "No Data",S23/(8-IF(S23&lt;8,VLOOKUP($A23,'Data Gaps'!$A:$N,10,FALSE),0)))</f>
        <v>0.77083333333333326</v>
      </c>
      <c r="W23" s="1">
        <f>IF(T23="No Data","No Data",T23/(5-IF(T23&lt;5,VLOOKUP($A23,'Data Gaps'!$A:$N,11,FALSE),0)))</f>
        <v>1</v>
      </c>
      <c r="X23" s="40">
        <f t="shared" si="6"/>
        <v>69.081131989787735</v>
      </c>
    </row>
    <row r="24" spans="1:24" x14ac:dyDescent="0.35">
      <c r="A24" s="1" t="s">
        <v>114</v>
      </c>
      <c r="B24" s="28" t="s">
        <v>115</v>
      </c>
      <c r="C24" s="1" t="s">
        <v>16</v>
      </c>
      <c r="D24" s="1" t="s">
        <v>17</v>
      </c>
      <c r="E24" s="29" t="s">
        <v>18</v>
      </c>
      <c r="F24" s="28" t="s">
        <v>160</v>
      </c>
      <c r="G24" s="28" t="str">
        <f>VLOOKUP($A24,'EBA2017'!$A:$G,7,FALSE)</f>
        <v>One</v>
      </c>
      <c r="H24" s="32" t="str">
        <f>VLOOKUP($A24,'EBA2017'!$A:$AE,27,FALSE)</f>
        <v>N/A</v>
      </c>
      <c r="I24" s="28">
        <f t="shared" si="0"/>
        <v>0</v>
      </c>
      <c r="J24" s="1" t="str">
        <f>VLOOKUP($A24,'EBA2017'!$A:$AE,28,FALSE)</f>
        <v>N/A</v>
      </c>
      <c r="K24" s="28">
        <f t="shared" si="1"/>
        <v>0</v>
      </c>
      <c r="L24" s="28">
        <f t="shared" si="2"/>
        <v>0</v>
      </c>
      <c r="M24" s="32">
        <f>VLOOKUP($A24,'EBA2017'!$A:$AE,29,FALSE)</f>
        <v>2</v>
      </c>
      <c r="N24" s="28">
        <f t="shared" si="3"/>
        <v>96.153846153846146</v>
      </c>
      <c r="O24" s="1">
        <f>VLOOKUP($A24,'EBA2017'!$A:$AE,30,FALSE)</f>
        <v>153.71623230068886</v>
      </c>
      <c r="P24" s="28">
        <f t="shared" si="4"/>
        <v>0</v>
      </c>
      <c r="Q24" s="28">
        <f t="shared" si="5"/>
        <v>0.48076923076923073</v>
      </c>
      <c r="R24" s="32">
        <f>VLOOKUP($A24,'EBA2017'!$A:$Z,24,FALSE)</f>
        <v>2.5</v>
      </c>
      <c r="S24" s="1">
        <f>VLOOKUP($A24,'EBA2017'!$A:$Z,25,FALSE)</f>
        <v>1.5</v>
      </c>
      <c r="T24" s="1">
        <f>VLOOKUP($A24,'EBA2017'!$A:$Z,26,FALSE)</f>
        <v>5</v>
      </c>
      <c r="U24" s="32">
        <f>IF(R24="No Data","No Data",R24/(5-IF(R24&lt;5,VLOOKUP($A24,'Data Gaps'!$A:$N,9,FALSE),0)))</f>
        <v>0.5</v>
      </c>
      <c r="V24" s="1">
        <f>IF(S24="No Data", "No Data",S24/(8-IF(S24&lt;8,VLOOKUP($A24,'Data Gaps'!$A:$N,10,FALSE),0)))</f>
        <v>0.1875</v>
      </c>
      <c r="W24" s="1">
        <f>IF(T24="No Data","No Data",T24/(5-IF(T24&lt;5,VLOOKUP($A24,'Data Gaps'!$A:$N,11,FALSE),0)))</f>
        <v>1</v>
      </c>
      <c r="X24" s="40">
        <f t="shared" si="6"/>
        <v>43.365384615384613</v>
      </c>
    </row>
    <row r="25" spans="1:24" x14ac:dyDescent="0.35">
      <c r="A25" s="1" t="s">
        <v>116</v>
      </c>
      <c r="B25" s="28" t="s">
        <v>117</v>
      </c>
      <c r="C25" s="1" t="s">
        <v>16</v>
      </c>
      <c r="D25" s="1" t="s">
        <v>17</v>
      </c>
      <c r="E25" s="29" t="s">
        <v>18</v>
      </c>
      <c r="F25" s="28" t="s">
        <v>162</v>
      </c>
      <c r="G25" s="28" t="str">
        <f>VLOOKUP($A25,'EBA2017'!$A:$G,7,FALSE)</f>
        <v>One</v>
      </c>
      <c r="H25" s="32" t="str">
        <f>VLOOKUP($A25,'EBA2017'!$A:$AE,27,FALSE)</f>
        <v>N/A</v>
      </c>
      <c r="I25" s="28">
        <f t="shared" si="0"/>
        <v>0</v>
      </c>
      <c r="J25" s="1" t="str">
        <f>VLOOKUP($A25,'EBA2017'!$A:$AE,28,FALSE)</f>
        <v>N/A</v>
      </c>
      <c r="K25" s="28">
        <f t="shared" si="1"/>
        <v>0</v>
      </c>
      <c r="L25" s="28">
        <f t="shared" si="2"/>
        <v>0</v>
      </c>
      <c r="M25" s="32">
        <f>VLOOKUP($A25,'EBA2017'!$A:$AE,29,FALSE)</f>
        <v>5</v>
      </c>
      <c r="N25" s="28">
        <f t="shared" si="3"/>
        <v>84.615384615384599</v>
      </c>
      <c r="O25" s="1">
        <f>VLOOKUP($A25,'EBA2017'!$A:$AE,30,FALSE)</f>
        <v>0.56527409461025246</v>
      </c>
      <c r="P25" s="28">
        <f t="shared" si="4"/>
        <v>98.536342993032719</v>
      </c>
      <c r="Q25" s="28">
        <f t="shared" si="5"/>
        <v>0.91575863804208668</v>
      </c>
      <c r="R25" s="32">
        <f>VLOOKUP($A25,'EBA2017'!$A:$Z,24,FALSE)</f>
        <v>1</v>
      </c>
      <c r="S25" s="1">
        <f>VLOOKUP($A25,'EBA2017'!$A:$Z,25,FALSE)</f>
        <v>0.33333333333333326</v>
      </c>
      <c r="T25" s="1">
        <f>VLOOKUP($A25,'EBA2017'!$A:$Z,26,FALSE)</f>
        <v>0.5</v>
      </c>
      <c r="U25" s="32">
        <f>IF(R25="No Data","No Data",R25/(5-IF(R25&lt;5,VLOOKUP($A25,'Data Gaps'!$A:$N,9,FALSE),0)))</f>
        <v>0.2</v>
      </c>
      <c r="V25" s="1">
        <f>IF(S25="No Data", "No Data",S25/(8-IF(S25&lt;8,VLOOKUP($A25,'Data Gaps'!$A:$N,10,FALSE),0)))</f>
        <v>4.1666666666666657E-2</v>
      </c>
      <c r="W25" s="1">
        <f>IF(T25="No Data","No Data",T25/(5-IF(T25&lt;5,VLOOKUP($A25,'Data Gaps'!$A:$N,11,FALSE),0)))</f>
        <v>0.1</v>
      </c>
      <c r="X25" s="40">
        <f t="shared" si="6"/>
        <v>25.148506094175072</v>
      </c>
    </row>
    <row r="26" spans="1:24" x14ac:dyDescent="0.35">
      <c r="A26" s="1" t="s">
        <v>118</v>
      </c>
      <c r="B26" s="28" t="s">
        <v>119</v>
      </c>
      <c r="C26" s="1" t="s">
        <v>7</v>
      </c>
      <c r="D26" s="1" t="s">
        <v>8</v>
      </c>
      <c r="E26" s="29" t="s">
        <v>25</v>
      </c>
      <c r="F26" s="28" t="s">
        <v>162</v>
      </c>
      <c r="G26" s="28" t="str">
        <f>VLOOKUP($A26,'EBA2017'!$A:$G,7,FALSE)</f>
        <v>One</v>
      </c>
      <c r="H26" s="32">
        <f>VLOOKUP($A26,'EBA2017'!$A:$AE,27,FALSE)</f>
        <v>30</v>
      </c>
      <c r="I26" s="28">
        <f t="shared" si="0"/>
        <v>90.547173241228876</v>
      </c>
      <c r="J26" s="1">
        <f>VLOOKUP($A26,'EBA2017'!$A:$AE,28,FALSE)</f>
        <v>2.6715201057263527</v>
      </c>
      <c r="K26" s="28">
        <f t="shared" si="1"/>
        <v>99.606065090554239</v>
      </c>
      <c r="L26" s="28">
        <f t="shared" si="2"/>
        <v>0.95076619165891563</v>
      </c>
      <c r="M26" s="32">
        <f>VLOOKUP($A26,'EBA2017'!$A:$AE,29,FALSE)</f>
        <v>2</v>
      </c>
      <c r="N26" s="28">
        <f t="shared" si="3"/>
        <v>96.153846153846146</v>
      </c>
      <c r="O26" s="1">
        <f>VLOOKUP($A26,'EBA2017'!$A:$AE,30,FALSE)</f>
        <v>5.6400846707804781</v>
      </c>
      <c r="P26" s="28">
        <f t="shared" si="4"/>
        <v>84.806455966557905</v>
      </c>
      <c r="Q26" s="28">
        <f t="shared" si="5"/>
        <v>0.90480151060202019</v>
      </c>
      <c r="R26" s="32">
        <f>VLOOKUP($A26,'EBA2017'!$A:$Z,24,FALSE)</f>
        <v>3</v>
      </c>
      <c r="S26" s="1">
        <f>VLOOKUP($A26,'EBA2017'!$A:$Z,25,FALSE)</f>
        <v>8</v>
      </c>
      <c r="T26" s="1">
        <f>VLOOKUP($A26,'EBA2017'!$A:$Z,26,FALSE)</f>
        <v>5</v>
      </c>
      <c r="U26" s="32">
        <f>IF(R26="No Data","No Data",R26/(5-IF(R26&lt;5,VLOOKUP($A26,'Data Gaps'!$A:$N,9,FALSE),0)))</f>
        <v>0.6</v>
      </c>
      <c r="V26" s="1">
        <f>IF(S26="No Data", "No Data",S26/(8-IF(S26&lt;8,VLOOKUP($A26,'Data Gaps'!$A:$N,10,FALSE),0)))</f>
        <v>1</v>
      </c>
      <c r="W26" s="1">
        <f>IF(T26="No Data","No Data",T26/(5-IF(T26&lt;5,VLOOKUP($A26,'Data Gaps'!$A:$N,11,FALSE),0)))</f>
        <v>1</v>
      </c>
      <c r="X26" s="40">
        <f t="shared" si="6"/>
        <v>89.111354045218718</v>
      </c>
    </row>
    <row r="27" spans="1:24" x14ac:dyDescent="0.35">
      <c r="A27" s="1" t="s">
        <v>126</v>
      </c>
      <c r="B27" s="28" t="s">
        <v>127</v>
      </c>
      <c r="C27" s="1" t="s">
        <v>7</v>
      </c>
      <c r="D27" s="1" t="s">
        <v>8</v>
      </c>
      <c r="E27" s="29" t="s">
        <v>9</v>
      </c>
      <c r="F27" s="28" t="s">
        <v>159</v>
      </c>
      <c r="G27" s="28" t="str">
        <f>VLOOKUP($A27,'EBA2017'!$A:$G,7,FALSE)</f>
        <v>One</v>
      </c>
      <c r="H27" s="32" t="str">
        <f>VLOOKUP($A27,'EBA2017'!$A:$AE,27,FALSE)</f>
        <v>No practice</v>
      </c>
      <c r="I27" s="28">
        <f t="shared" si="0"/>
        <v>0</v>
      </c>
      <c r="J27" s="1" t="str">
        <f>VLOOKUP($A27,'EBA2017'!$A:$AE,28,FALSE)</f>
        <v>No practice</v>
      </c>
      <c r="K27" s="28">
        <f t="shared" si="1"/>
        <v>0</v>
      </c>
      <c r="L27" s="28">
        <f t="shared" si="2"/>
        <v>0</v>
      </c>
      <c r="M27" s="32">
        <f>VLOOKUP($A27,'EBA2017'!$A:$AE,29,FALSE)</f>
        <v>10</v>
      </c>
      <c r="N27" s="28">
        <f t="shared" si="3"/>
        <v>65.38461538461533</v>
      </c>
      <c r="O27" s="1">
        <f>VLOOKUP($A27,'EBA2017'!$A:$AE,30,FALSE)</f>
        <v>1.4636959544561556</v>
      </c>
      <c r="P27" s="28">
        <f t="shared" si="4"/>
        <v>96.105664950442886</v>
      </c>
      <c r="Q27" s="28">
        <f t="shared" si="5"/>
        <v>0.80745140167529117</v>
      </c>
      <c r="R27" s="32">
        <f>VLOOKUP($A27,'EBA2017'!$A:$Z,24,FALSE)</f>
        <v>3</v>
      </c>
      <c r="S27" s="1">
        <f>VLOOKUP($A27,'EBA2017'!$A:$Z,25,FALSE)</f>
        <v>4</v>
      </c>
      <c r="T27" s="1">
        <f>VLOOKUP($A27,'EBA2017'!$A:$Z,26,FALSE)</f>
        <v>5</v>
      </c>
      <c r="U27" s="32">
        <f>IF(R27="No Data","No Data",R27/(5-IF(R27&lt;5,VLOOKUP($A27,'Data Gaps'!$A:$N,9,FALSE),0)))</f>
        <v>0.6</v>
      </c>
      <c r="V27" s="1">
        <f>IF(S27="No Data", "No Data",S27/(8-IF(S27&lt;8,VLOOKUP($A27,'Data Gaps'!$A:$N,10,FALSE),0)))</f>
        <v>0.5</v>
      </c>
      <c r="W27" s="1">
        <f>IF(T27="No Data","No Data",T27/(5-IF(T27&lt;5,VLOOKUP($A27,'Data Gaps'!$A:$N,11,FALSE),0)))</f>
        <v>1</v>
      </c>
      <c r="X27" s="40">
        <f t="shared" si="6"/>
        <v>58.149028033505822</v>
      </c>
    </row>
    <row r="28" spans="1:24" x14ac:dyDescent="0.35">
      <c r="A28" s="1" t="s">
        <v>132</v>
      </c>
      <c r="B28" s="28" t="s">
        <v>133</v>
      </c>
      <c r="C28" s="1" t="s">
        <v>7</v>
      </c>
      <c r="D28" s="1" t="s">
        <v>8</v>
      </c>
      <c r="E28" s="28" t="s">
        <v>25</v>
      </c>
      <c r="F28" s="28" t="s">
        <v>159</v>
      </c>
      <c r="G28" s="28" t="str">
        <f>VLOOKUP($A28,'EBA2017'!$A:$G,7,FALSE)</f>
        <v>One</v>
      </c>
      <c r="H28" s="32">
        <f>VLOOKUP($A28,'EBA2017'!$A:$AE,27,FALSE)</f>
        <v>90</v>
      </c>
      <c r="I28" s="28">
        <f t="shared" si="0"/>
        <v>68.732957644064726</v>
      </c>
      <c r="J28" s="1">
        <f>VLOOKUP($A28,'EBA2017'!$A:$AE,28,FALSE)</f>
        <v>102.0586762895648</v>
      </c>
      <c r="K28" s="28">
        <f t="shared" si="1"/>
        <v>81.872542850602841</v>
      </c>
      <c r="L28" s="28">
        <f t="shared" si="2"/>
        <v>0.75302750247333794</v>
      </c>
      <c r="M28" s="32">
        <f>VLOOKUP($A28,'EBA2017'!$A:$AE,29,FALSE)</f>
        <v>2</v>
      </c>
      <c r="N28" s="28">
        <f t="shared" si="3"/>
        <v>96.153846153846146</v>
      </c>
      <c r="O28" s="1">
        <f>VLOOKUP($A28,'EBA2017'!$A:$AE,30,FALSE)</f>
        <v>2.4494082309495546</v>
      </c>
      <c r="P28" s="28">
        <f t="shared" si="4"/>
        <v>93.438822909005125</v>
      </c>
      <c r="Q28" s="28">
        <f t="shared" si="5"/>
        <v>0.9479633453142563</v>
      </c>
      <c r="R28" s="32">
        <f>VLOOKUP($A28,'EBA2017'!$A:$Z,24,FALSE)</f>
        <v>4.5</v>
      </c>
      <c r="S28" s="1">
        <f>VLOOKUP($A28,'EBA2017'!$A:$Z,25,FALSE)</f>
        <v>6.6666666666666661</v>
      </c>
      <c r="T28" s="1">
        <f>VLOOKUP($A28,'EBA2017'!$A:$Z,26,FALSE)</f>
        <v>5</v>
      </c>
      <c r="U28" s="32">
        <f>IF(R28="No Data","No Data",R28/(5-IF(R28&lt;5,VLOOKUP($A28,'Data Gaps'!$A:$N,9,FALSE),0)))</f>
        <v>0.9</v>
      </c>
      <c r="V28" s="1">
        <f>IF(S28="No Data", "No Data",S28/(8-IF(S28&lt;8,VLOOKUP($A28,'Data Gaps'!$A:$N,10,FALSE),0)))</f>
        <v>0.83333333333333326</v>
      </c>
      <c r="W28" s="1">
        <f>IF(T28="No Data","No Data",T28/(5-IF(T28&lt;5,VLOOKUP($A28,'Data Gaps'!$A:$N,11,FALSE),0)))</f>
        <v>1</v>
      </c>
      <c r="X28" s="40">
        <f t="shared" si="6"/>
        <v>88.68648362241855</v>
      </c>
    </row>
    <row r="29" spans="1:24" x14ac:dyDescent="0.35">
      <c r="A29" s="1" t="s">
        <v>136</v>
      </c>
      <c r="B29" s="28" t="s">
        <v>137</v>
      </c>
      <c r="C29" s="1" t="s">
        <v>7</v>
      </c>
      <c r="D29" s="1" t="s">
        <v>8</v>
      </c>
      <c r="E29" s="28" t="s">
        <v>9</v>
      </c>
      <c r="F29" s="28" t="s">
        <v>162</v>
      </c>
      <c r="G29" s="28" t="str">
        <f>VLOOKUP($A29,'EBA2017'!$A:$G,7,FALSE)</f>
        <v>One</v>
      </c>
      <c r="H29" s="32" t="str">
        <f>VLOOKUP($A29,'EBA2017'!$A:$AE,27,FALSE)</f>
        <v>No data</v>
      </c>
      <c r="I29" s="28" t="str">
        <f t="shared" si="0"/>
        <v>No data</v>
      </c>
      <c r="J29" s="1">
        <f>VLOOKUP($A29,'EBA2017'!$A:$AE,28,FALSE)</f>
        <v>219.68123556245683</v>
      </c>
      <c r="K29" s="28">
        <f t="shared" si="1"/>
        <v>60.88530112967495</v>
      </c>
      <c r="L29" s="28">
        <f t="shared" si="2"/>
        <v>0.60885301129674951</v>
      </c>
      <c r="M29" s="32">
        <f>VLOOKUP($A29,'EBA2017'!$A:$AE,29,FALSE)</f>
        <v>6</v>
      </c>
      <c r="N29" s="28">
        <f t="shared" si="3"/>
        <v>80.769230769230731</v>
      </c>
      <c r="O29" s="1">
        <f>VLOOKUP($A29,'EBA2017'!$A:$AE,30,FALSE)</f>
        <v>2.1968123556245684</v>
      </c>
      <c r="P29" s="28">
        <f t="shared" si="4"/>
        <v>94.122220403258581</v>
      </c>
      <c r="Q29" s="28">
        <f t="shared" si="5"/>
        <v>0.8744572558624466</v>
      </c>
      <c r="R29" s="32">
        <f>VLOOKUP($A29,'EBA2017'!$A:$Z,24,FALSE)</f>
        <v>0.5</v>
      </c>
      <c r="S29" s="1">
        <f>VLOOKUP($A29,'EBA2017'!$A:$Z,25,FALSE)</f>
        <v>4.8333333333333339</v>
      </c>
      <c r="T29" s="1">
        <f>VLOOKUP($A29,'EBA2017'!$A:$Z,26,FALSE)</f>
        <v>5</v>
      </c>
      <c r="U29" s="32">
        <f>IF(R29="No Data","No Data",R29/(5-IF(R29&lt;5,VLOOKUP($A29,'Data Gaps'!$A:$N,9,FALSE),0)))</f>
        <v>0.1</v>
      </c>
      <c r="V29" s="1">
        <f>IF(S29="No Data", "No Data",S29/(8-IF(S29&lt;8,VLOOKUP($A29,'Data Gaps'!$A:$N,10,FALSE),0)))</f>
        <v>0.60416666666666674</v>
      </c>
      <c r="W29" s="1">
        <f>IF(T29="No Data","No Data",T29/(5-IF(T29&lt;5,VLOOKUP($A29,'Data Gaps'!$A:$N,11,FALSE),0)))</f>
        <v>1</v>
      </c>
      <c r="X29" s="40">
        <f t="shared" si="6"/>
        <v>63.749538676517261</v>
      </c>
    </row>
    <row r="30" spans="1:24" x14ac:dyDescent="0.35">
      <c r="A30" s="1" t="s">
        <v>28</v>
      </c>
      <c r="B30" s="28" t="s">
        <v>29</v>
      </c>
      <c r="C30" s="1" t="s">
        <v>16</v>
      </c>
      <c r="D30" s="1" t="s">
        <v>17</v>
      </c>
      <c r="E30" s="29" t="s">
        <v>18</v>
      </c>
      <c r="F30" s="28" t="s">
        <v>160</v>
      </c>
      <c r="G30" s="28" t="str">
        <f>VLOOKUP($A30,'EBA2017'!$A:$G,7,FALSE)</f>
        <v>Two</v>
      </c>
      <c r="H30" s="32" t="str">
        <f>VLOOKUP($A30,'EBA2017'!$A:$AE,27,FALSE)</f>
        <v>N/A</v>
      </c>
      <c r="I30" s="28">
        <f t="shared" si="0"/>
        <v>0</v>
      </c>
      <c r="J30" s="1" t="str">
        <f>VLOOKUP($A30,'EBA2017'!$A:$AE,28,FALSE)</f>
        <v>N/A</v>
      </c>
      <c r="K30" s="28">
        <f t="shared" si="1"/>
        <v>0</v>
      </c>
      <c r="L30" s="28">
        <f t="shared" si="2"/>
        <v>0</v>
      </c>
      <c r="M30" s="32" t="str">
        <f>VLOOKUP($A30,'EBA2017'!$A:$AE,29,FALSE)</f>
        <v>No practice</v>
      </c>
      <c r="N30" s="28">
        <f t="shared" si="3"/>
        <v>0</v>
      </c>
      <c r="O30" s="1" t="str">
        <f>VLOOKUP($A30,'EBA2017'!$A:$AE,30,FALSE)</f>
        <v>No practice</v>
      </c>
      <c r="P30" s="28">
        <f t="shared" si="4"/>
        <v>0</v>
      </c>
      <c r="Q30" s="28">
        <f t="shared" si="5"/>
        <v>0</v>
      </c>
      <c r="R30" s="32">
        <f>VLOOKUP($A30,'EBA2017'!$A:$Z,24,FALSE)</f>
        <v>2.5</v>
      </c>
      <c r="S30" s="1">
        <f>VLOOKUP($A30,'EBA2017'!$A:$Z,25,FALSE)</f>
        <v>0</v>
      </c>
      <c r="T30" s="1">
        <f>VLOOKUP($A30,'EBA2017'!$A:$Z,26,FALSE)</f>
        <v>5</v>
      </c>
      <c r="U30" s="32">
        <f>IF(R30="No Data","No Data",R30/(5-IF(R30&lt;5,VLOOKUP($A30,'Data Gaps'!$A:$N,9,FALSE),0)))</f>
        <v>0.5</v>
      </c>
      <c r="V30" s="1">
        <f>IF(S30="No Data", "No Data",S30/(8-IF(S30&lt;8,VLOOKUP($A30,'Data Gaps'!$A:$N,10,FALSE),0)))</f>
        <v>0</v>
      </c>
      <c r="W30" s="1">
        <f>IF(T30="No Data","No Data",T30/(5-IF(T30&lt;5,VLOOKUP($A30,'Data Gaps'!$A:$N,11,FALSE),0)))</f>
        <v>1</v>
      </c>
      <c r="X30" s="40">
        <f t="shared" si="6"/>
        <v>30</v>
      </c>
    </row>
    <row r="31" spans="1:24" x14ac:dyDescent="0.35">
      <c r="A31" s="1" t="s">
        <v>14</v>
      </c>
      <c r="B31" s="28" t="s">
        <v>15</v>
      </c>
      <c r="C31" s="1" t="s">
        <v>16</v>
      </c>
      <c r="D31" s="1" t="s">
        <v>17</v>
      </c>
      <c r="E31" s="29" t="s">
        <v>18</v>
      </c>
      <c r="F31" s="28" t="s">
        <v>159</v>
      </c>
      <c r="G31" s="28" t="str">
        <f>VLOOKUP($A31,'EBA2017'!$A:$G,7,FALSE)</f>
        <v>Two</v>
      </c>
      <c r="H31" s="32" t="str">
        <f>VLOOKUP($A31,'EBA2017'!$A:$AE,27,FALSE)</f>
        <v>N/A</v>
      </c>
      <c r="I31" s="28">
        <f t="shared" si="0"/>
        <v>0</v>
      </c>
      <c r="J31" s="1" t="str">
        <f>VLOOKUP($A31,'EBA2017'!$A:$AE,28,FALSE)</f>
        <v>N/A</v>
      </c>
      <c r="K31" s="28">
        <f t="shared" si="1"/>
        <v>0</v>
      </c>
      <c r="L31" s="28">
        <f t="shared" si="2"/>
        <v>0</v>
      </c>
      <c r="M31" s="32" t="str">
        <f>VLOOKUP($A31,'EBA2017'!$A:$AE,29,FALSE)</f>
        <v>N/A</v>
      </c>
      <c r="N31" s="28">
        <f t="shared" si="3"/>
        <v>0</v>
      </c>
      <c r="O31" s="1" t="str">
        <f>VLOOKUP($A31,'EBA2017'!$A:$AE,30,FALSE)</f>
        <v>N/A</v>
      </c>
      <c r="P31" s="28">
        <f t="shared" si="4"/>
        <v>0</v>
      </c>
      <c r="Q31" s="28">
        <f t="shared" si="5"/>
        <v>0</v>
      </c>
      <c r="R31" s="32">
        <f>VLOOKUP($A31,'EBA2017'!$A:$Z,24,FALSE)</f>
        <v>0</v>
      </c>
      <c r="S31" s="1">
        <f>VLOOKUP($A31,'EBA2017'!$A:$Z,25,FALSE)</f>
        <v>2.3333333333333335</v>
      </c>
      <c r="T31" s="1">
        <f>VLOOKUP($A31,'EBA2017'!$A:$Z,26,FALSE)</f>
        <v>5</v>
      </c>
      <c r="U31" s="32">
        <f>IF(R31="No Data","No Data",R31/(5-IF(R31&lt;5,VLOOKUP($A31,'Data Gaps'!$A:$N,9,FALSE),0)))</f>
        <v>0</v>
      </c>
      <c r="V31" s="1">
        <f>IF(S31="No Data", "No Data",S31/(8-IF(S31&lt;8,VLOOKUP($A31,'Data Gaps'!$A:$N,10,FALSE),0)))</f>
        <v>0.29166666666666669</v>
      </c>
      <c r="W31" s="1">
        <f>IF(T31="No Data","No Data",T31/(5-IF(T31&lt;5,VLOOKUP($A31,'Data Gaps'!$A:$N,11,FALSE),0)))</f>
        <v>1</v>
      </c>
      <c r="X31" s="40">
        <f t="shared" si="6"/>
        <v>25.833333333333336</v>
      </c>
    </row>
    <row r="32" spans="1:24" x14ac:dyDescent="0.35">
      <c r="A32" s="1" t="s">
        <v>26</v>
      </c>
      <c r="B32" s="28" t="s">
        <v>27</v>
      </c>
      <c r="C32" s="1" t="s">
        <v>16</v>
      </c>
      <c r="D32" s="1" t="s">
        <v>17</v>
      </c>
      <c r="E32" s="29" t="s">
        <v>18</v>
      </c>
      <c r="F32" s="28" t="s">
        <v>159</v>
      </c>
      <c r="G32" s="28" t="str">
        <f>VLOOKUP($A32,'EBA2017'!$A:$G,7,FALSE)</f>
        <v>Two</v>
      </c>
      <c r="H32" s="32">
        <f>VLOOKUP($A32,'EBA2017'!$A:$AE,27,FALSE)</f>
        <v>4</v>
      </c>
      <c r="I32" s="28">
        <f t="shared" si="0"/>
        <v>100</v>
      </c>
      <c r="J32" s="1">
        <f>VLOOKUP($A32,'EBA2017'!$A:$AE,28,FALSE)</f>
        <v>11.102716600915983</v>
      </c>
      <c r="K32" s="28">
        <f t="shared" si="1"/>
        <v>98.101697561612326</v>
      </c>
      <c r="L32" s="28">
        <f t="shared" si="2"/>
        <v>0.99050848780806167</v>
      </c>
      <c r="M32" s="32">
        <f>VLOOKUP($A32,'EBA2017'!$A:$AE,29,FALSE)</f>
        <v>30</v>
      </c>
      <c r="N32" s="28">
        <f t="shared" si="3"/>
        <v>0</v>
      </c>
      <c r="O32" s="1">
        <f>VLOOKUP($A32,'EBA2017'!$A:$AE,30,FALSE)</f>
        <v>5.6216286586916366</v>
      </c>
      <c r="P32" s="28">
        <f t="shared" si="4"/>
        <v>84.856388660031996</v>
      </c>
      <c r="Q32" s="28">
        <f t="shared" si="5"/>
        <v>0.42428194330016</v>
      </c>
      <c r="R32" s="32">
        <f>VLOOKUP($A32,'EBA2017'!$A:$Z,24,FALSE)</f>
        <v>2.5</v>
      </c>
      <c r="S32" s="1">
        <f>VLOOKUP($A32,'EBA2017'!$A:$Z,25,FALSE)</f>
        <v>3.3333333333333339</v>
      </c>
      <c r="T32" s="1">
        <f>VLOOKUP($A32,'EBA2017'!$A:$Z,26,FALSE)</f>
        <v>1.5</v>
      </c>
      <c r="U32" s="32">
        <f>IF(R32="No Data","No Data",R32/(5-IF(R32&lt;5,VLOOKUP($A32,'Data Gaps'!$A:$N,9,FALSE),0)))</f>
        <v>0.5</v>
      </c>
      <c r="V32" s="1">
        <f>IF(S32="No Data", "No Data",S32/(8-IF(S32&lt;8,VLOOKUP($A32,'Data Gaps'!$A:$N,10,FALSE),0)))</f>
        <v>0.41666666666666674</v>
      </c>
      <c r="W32" s="1">
        <f>IF(T32="No Data","No Data",T32/(5-IF(T32&lt;5,VLOOKUP($A32,'Data Gaps'!$A:$N,11,FALSE),0)))</f>
        <v>0.3</v>
      </c>
      <c r="X32" s="40">
        <f t="shared" si="6"/>
        <v>52.629141955497758</v>
      </c>
    </row>
    <row r="33" spans="1:24" x14ac:dyDescent="0.35">
      <c r="A33" s="1" t="s">
        <v>10</v>
      </c>
      <c r="B33" s="28" t="s">
        <v>11</v>
      </c>
      <c r="C33" s="1" t="s">
        <v>12</v>
      </c>
      <c r="D33" s="1" t="s">
        <v>13</v>
      </c>
      <c r="E33" s="29" t="s">
        <v>9</v>
      </c>
      <c r="F33" s="28" t="s">
        <v>159</v>
      </c>
      <c r="G33" s="28" t="str">
        <f>VLOOKUP($A33,'EBA2017'!$A:$G,7,FALSE)</f>
        <v>Two</v>
      </c>
      <c r="H33" s="32" t="str">
        <f>VLOOKUP($A33,'EBA2017'!$A:$AE,27,FALSE)</f>
        <v>N/A</v>
      </c>
      <c r="I33" s="28">
        <f t="shared" si="0"/>
        <v>0</v>
      </c>
      <c r="J33" s="1" t="str">
        <f>VLOOKUP($A33,'EBA2017'!$A:$AE,28,FALSE)</f>
        <v>N/A</v>
      </c>
      <c r="K33" s="28">
        <f t="shared" si="1"/>
        <v>0</v>
      </c>
      <c r="L33" s="28">
        <f t="shared" si="2"/>
        <v>0</v>
      </c>
      <c r="M33" s="32">
        <f>VLOOKUP($A33,'EBA2017'!$A:$AE,29,FALSE)</f>
        <v>17</v>
      </c>
      <c r="N33" s="28">
        <f t="shared" si="3"/>
        <v>38.46153846153836</v>
      </c>
      <c r="O33" s="1">
        <f>VLOOKUP($A33,'EBA2017'!$A:$AE,30,FALSE)</f>
        <v>8.2963241411481583</v>
      </c>
      <c r="P33" s="28">
        <f t="shared" si="4"/>
        <v>77.62000687727307</v>
      </c>
      <c r="Q33" s="28">
        <f t="shared" si="5"/>
        <v>0.58040772669405716</v>
      </c>
      <c r="R33" s="32">
        <f>VLOOKUP($A33,'EBA2017'!$A:$Z,24,FALSE)</f>
        <v>3</v>
      </c>
      <c r="S33" s="1">
        <f>VLOOKUP($A33,'EBA2017'!$A:$Z,25,FALSE)</f>
        <v>0.33333333333333326</v>
      </c>
      <c r="T33" s="1">
        <f>VLOOKUP($A33,'EBA2017'!$A:$Z,26,FALSE)</f>
        <v>1.5</v>
      </c>
      <c r="U33" s="32">
        <f>IF(R33="No Data","No Data",R33/(5-IF(R33&lt;5,VLOOKUP($A33,'Data Gaps'!$A:$N,9,FALSE),0)))</f>
        <v>0.6</v>
      </c>
      <c r="V33" s="1">
        <f>IF(S33="No Data", "No Data",S33/(8-IF(S33&lt;8,VLOOKUP($A33,'Data Gaps'!$A:$N,10,FALSE),0)))</f>
        <v>4.1666666666666657E-2</v>
      </c>
      <c r="W33" s="1">
        <f>IF(T33="No Data","No Data",T33/(5-IF(T33&lt;5,VLOOKUP($A33,'Data Gaps'!$A:$N,11,FALSE),0)))</f>
        <v>0.3</v>
      </c>
      <c r="X33" s="40">
        <f t="shared" si="6"/>
        <v>30.441487867214477</v>
      </c>
    </row>
    <row r="34" spans="1:24" x14ac:dyDescent="0.35">
      <c r="A34" s="1" t="s">
        <v>19</v>
      </c>
      <c r="B34" s="28" t="s">
        <v>20</v>
      </c>
      <c r="C34" s="1" t="s">
        <v>21</v>
      </c>
      <c r="D34" s="1" t="s">
        <v>22</v>
      </c>
      <c r="E34" s="29" t="s">
        <v>9</v>
      </c>
      <c r="F34" s="28" t="s">
        <v>162</v>
      </c>
      <c r="G34" s="28" t="str">
        <f>VLOOKUP($A34,'EBA2017'!$A:$G,7,FALSE)</f>
        <v>Two</v>
      </c>
      <c r="H34" s="32" t="str">
        <f>VLOOKUP($A34,'EBA2017'!$A:$AE,27,FALSE)</f>
        <v>N/A</v>
      </c>
      <c r="I34" s="28">
        <f t="shared" si="0"/>
        <v>0</v>
      </c>
      <c r="J34" s="1" t="str">
        <f>VLOOKUP($A34,'EBA2017'!$A:$AE,28,FALSE)</f>
        <v>N/A</v>
      </c>
      <c r="K34" s="28">
        <f t="shared" si="1"/>
        <v>0</v>
      </c>
      <c r="L34" s="28">
        <f t="shared" si="2"/>
        <v>0</v>
      </c>
      <c r="M34" s="32" t="str">
        <f>VLOOKUP($A34,'EBA2017'!$A:$AE,29,FALSE)</f>
        <v>No practice</v>
      </c>
      <c r="N34" s="28">
        <f t="shared" si="3"/>
        <v>0</v>
      </c>
      <c r="O34" s="1" t="str">
        <f>VLOOKUP($A34,'EBA2017'!$A:$AE,30,FALSE)</f>
        <v>No practice</v>
      </c>
      <c r="P34" s="28">
        <f t="shared" si="4"/>
        <v>0</v>
      </c>
      <c r="Q34" s="28">
        <f t="shared" si="5"/>
        <v>0</v>
      </c>
      <c r="R34" s="32">
        <f>VLOOKUP($A34,'EBA2017'!$A:$Z,24,FALSE)</f>
        <v>0.5</v>
      </c>
      <c r="S34" s="1">
        <f>VLOOKUP($A34,'EBA2017'!$A:$Z,25,FALSE)</f>
        <v>2.3333333333333335</v>
      </c>
      <c r="T34" s="1">
        <f>VLOOKUP($A34,'EBA2017'!$A:$Z,26,FALSE)</f>
        <v>4.5</v>
      </c>
      <c r="U34" s="32">
        <f>IF(R34="No Data","No Data",R34/(5-IF(R34&lt;5,VLOOKUP($A34,'Data Gaps'!$A:$N,9,FALSE),0)))</f>
        <v>0.1</v>
      </c>
      <c r="V34" s="1">
        <f>IF(S34="No Data", "No Data",S34/(8-IF(S34&lt;8,VLOOKUP($A34,'Data Gaps'!$A:$N,10,FALSE),0)))</f>
        <v>0.29166666666666669</v>
      </c>
      <c r="W34" s="1">
        <f>IF(T34="No Data","No Data",T34/(5-IF(T34&lt;5,VLOOKUP($A34,'Data Gaps'!$A:$N,11,FALSE),0)))</f>
        <v>0.9</v>
      </c>
      <c r="X34" s="40">
        <f t="shared" si="6"/>
        <v>25.833333333333336</v>
      </c>
    </row>
    <row r="35" spans="1:24" x14ac:dyDescent="0.35">
      <c r="A35" s="1" t="s">
        <v>43</v>
      </c>
      <c r="B35" s="28" t="s">
        <v>44</v>
      </c>
      <c r="C35" s="1" t="s">
        <v>16</v>
      </c>
      <c r="D35" s="1" t="s">
        <v>17</v>
      </c>
      <c r="E35" s="29" t="s">
        <v>9</v>
      </c>
      <c r="F35" s="28" t="s">
        <v>160</v>
      </c>
      <c r="G35" s="28" t="str">
        <f>VLOOKUP($A35,'EBA2017'!$A:$G,7,FALSE)</f>
        <v>Two</v>
      </c>
      <c r="H35" s="32">
        <f>VLOOKUP($A35,'EBA2017'!$A:$AE,27,FALSE)</f>
        <v>18</v>
      </c>
      <c r="I35" s="28">
        <f t="shared" si="0"/>
        <v>94.9100163606617</v>
      </c>
      <c r="J35" s="1">
        <f>VLOOKUP($A35,'EBA2017'!$A:$AE,28,FALSE)</f>
        <v>40.494073044930055</v>
      </c>
      <c r="K35" s="28">
        <f t="shared" si="1"/>
        <v>92.857435695439548</v>
      </c>
      <c r="L35" s="28">
        <f t="shared" si="2"/>
        <v>0.93883726028050629</v>
      </c>
      <c r="M35" s="32" t="str">
        <f>VLOOKUP($A35,'EBA2017'!$A:$AE,29,FALSE)</f>
        <v>N/A</v>
      </c>
      <c r="N35" s="28">
        <f t="shared" si="3"/>
        <v>0</v>
      </c>
      <c r="O35" s="1" t="str">
        <f>VLOOKUP($A35,'EBA2017'!$A:$AE,30,FALSE)</f>
        <v>N/A</v>
      </c>
      <c r="P35" s="28">
        <f t="shared" si="4"/>
        <v>0</v>
      </c>
      <c r="Q35" s="28">
        <f t="shared" si="5"/>
        <v>0</v>
      </c>
      <c r="R35" s="32">
        <f>VLOOKUP($A35,'EBA2017'!$A:$Z,24,FALSE)</f>
        <v>1.5</v>
      </c>
      <c r="S35" s="1">
        <f>VLOOKUP($A35,'EBA2017'!$A:$Z,25,FALSE)</f>
        <v>6.6666666666666679</v>
      </c>
      <c r="T35" s="1">
        <f>VLOOKUP($A35,'EBA2017'!$A:$Z,26,FALSE)</f>
        <v>1.5</v>
      </c>
      <c r="U35" s="32">
        <f>IF(R35="No Data","No Data",R35/(5-IF(R35&lt;5,VLOOKUP($A35,'Data Gaps'!$A:$N,9,FALSE),0)))</f>
        <v>0.3</v>
      </c>
      <c r="V35" s="1">
        <f>IF(S35="No Data", "No Data",S35/(8-IF(S35&lt;8,VLOOKUP($A35,'Data Gaps'!$A:$N,10,FALSE),0)))</f>
        <v>0.83333333333333348</v>
      </c>
      <c r="W35" s="1">
        <f>IF(T35="No Data","No Data",T35/(5-IF(T35&lt;5,VLOOKUP($A35,'Data Gaps'!$A:$N,11,FALSE),0)))</f>
        <v>0.3</v>
      </c>
      <c r="X35" s="40">
        <f t="shared" si="6"/>
        <v>47.443411872276791</v>
      </c>
    </row>
    <row r="36" spans="1:24" x14ac:dyDescent="0.35">
      <c r="A36" s="1" t="s">
        <v>34</v>
      </c>
      <c r="B36" s="28" t="s">
        <v>35</v>
      </c>
      <c r="C36" s="1" t="s">
        <v>16</v>
      </c>
      <c r="D36" s="1" t="s">
        <v>17</v>
      </c>
      <c r="E36" s="29" t="s">
        <v>9</v>
      </c>
      <c r="F36" s="28" t="s">
        <v>160</v>
      </c>
      <c r="G36" s="28" t="str">
        <f>VLOOKUP($A36,'EBA2017'!$A:$G,7,FALSE)</f>
        <v>Two</v>
      </c>
      <c r="H36" s="32">
        <f>VLOOKUP($A36,'EBA2017'!$A:$AE,27,FALSE)</f>
        <v>90</v>
      </c>
      <c r="I36" s="28">
        <f t="shared" si="0"/>
        <v>68.732957644064726</v>
      </c>
      <c r="J36" s="1">
        <f>VLOOKUP($A36,'EBA2017'!$A:$AE,28,FALSE)</f>
        <v>270.6929534935411</v>
      </c>
      <c r="K36" s="28">
        <f t="shared" si="1"/>
        <v>51.783346016322874</v>
      </c>
      <c r="L36" s="28">
        <f t="shared" si="2"/>
        <v>0.60258151830193796</v>
      </c>
      <c r="M36" s="32" t="str">
        <f>VLOOKUP($A36,'EBA2017'!$A:$AE,29,FALSE)</f>
        <v>No practice</v>
      </c>
      <c r="N36" s="28">
        <f t="shared" si="3"/>
        <v>0</v>
      </c>
      <c r="O36" s="1" t="str">
        <f>VLOOKUP($A36,'EBA2017'!$A:$AE,30,FALSE)</f>
        <v>No practice</v>
      </c>
      <c r="P36" s="28">
        <f t="shared" si="4"/>
        <v>0</v>
      </c>
      <c r="Q36" s="28">
        <f t="shared" si="5"/>
        <v>0</v>
      </c>
      <c r="R36" s="32">
        <f>VLOOKUP($A36,'EBA2017'!$A:$Z,24,FALSE)</f>
        <v>2.5</v>
      </c>
      <c r="S36" s="1">
        <f>VLOOKUP($A36,'EBA2017'!$A:$Z,25,FALSE)</f>
        <v>6.5</v>
      </c>
      <c r="T36" s="1">
        <f>VLOOKUP($A36,'EBA2017'!$A:$Z,26,FALSE)</f>
        <v>2</v>
      </c>
      <c r="U36" s="32">
        <f>IF(R36="No Data","No Data",R36/(5-IF(R36&lt;5,VLOOKUP($A36,'Data Gaps'!$A:$N,9,FALSE),0)))</f>
        <v>0.5</v>
      </c>
      <c r="V36" s="1">
        <f>IF(S36="No Data", "No Data",S36/(8-IF(S36&lt;8,VLOOKUP($A36,'Data Gaps'!$A:$N,10,FALSE),0)))</f>
        <v>0.8125</v>
      </c>
      <c r="W36" s="1">
        <f>IF(T36="No Data","No Data",T36/(5-IF(T36&lt;5,VLOOKUP($A36,'Data Gaps'!$A:$N,11,FALSE),0)))</f>
        <v>0.4</v>
      </c>
      <c r="X36" s="40">
        <f t="shared" si="6"/>
        <v>46.301630366038758</v>
      </c>
    </row>
    <row r="37" spans="1:24" x14ac:dyDescent="0.35">
      <c r="A37" s="1" t="s">
        <v>41</v>
      </c>
      <c r="B37" s="28" t="s">
        <v>42</v>
      </c>
      <c r="C37" s="1" t="s">
        <v>21</v>
      </c>
      <c r="D37" s="1" t="s">
        <v>22</v>
      </c>
      <c r="E37" s="29" t="s">
        <v>25</v>
      </c>
      <c r="F37" s="28" t="s">
        <v>160</v>
      </c>
      <c r="G37" s="28" t="str">
        <f>VLOOKUP($A37,'EBA2017'!$A:$G,7,FALSE)</f>
        <v>Two</v>
      </c>
      <c r="H37" s="32" t="str">
        <f>VLOOKUP($A37,'EBA2017'!$A:$AE,27,FALSE)</f>
        <v>N/A</v>
      </c>
      <c r="I37" s="28">
        <f t="shared" si="0"/>
        <v>0</v>
      </c>
      <c r="J37" s="1" t="str">
        <f>VLOOKUP($A37,'EBA2017'!$A:$AE,28,FALSE)</f>
        <v>N/A</v>
      </c>
      <c r="K37" s="28">
        <f t="shared" si="1"/>
        <v>0</v>
      </c>
      <c r="L37" s="28">
        <f t="shared" si="2"/>
        <v>0</v>
      </c>
      <c r="M37" s="32">
        <f>VLOOKUP($A37,'EBA2017'!$A:$AE,29,FALSE)</f>
        <v>2</v>
      </c>
      <c r="N37" s="28">
        <f t="shared" si="3"/>
        <v>96.153846153846146</v>
      </c>
      <c r="O37" s="1">
        <f>VLOOKUP($A37,'EBA2017'!$A:$AE,30,FALSE)</f>
        <v>1.107402594117233</v>
      </c>
      <c r="P37" s="28">
        <f t="shared" si="4"/>
        <v>97.069615725020995</v>
      </c>
      <c r="Q37" s="28">
        <f t="shared" si="5"/>
        <v>0.96611730939433571</v>
      </c>
      <c r="R37" s="32">
        <f>VLOOKUP($A37,'EBA2017'!$A:$Z,24,FALSE)</f>
        <v>1.5</v>
      </c>
      <c r="S37" s="1">
        <f>VLOOKUP($A37,'EBA2017'!$A:$Z,25,FALSE)</f>
        <v>0.33333333333333326</v>
      </c>
      <c r="T37" s="1">
        <f>VLOOKUP($A37,'EBA2017'!$A:$Z,26,FALSE)</f>
        <v>3</v>
      </c>
      <c r="U37" s="32">
        <f>IF(R37="No Data","No Data",R37/(5-IF(R37&lt;5,VLOOKUP($A37,'Data Gaps'!$A:$N,9,FALSE),0)))</f>
        <v>0.3</v>
      </c>
      <c r="V37" s="1">
        <f>IF(S37="No Data", "No Data",S37/(8-IF(S37&lt;8,VLOOKUP($A37,'Data Gaps'!$A:$N,10,FALSE),0)))</f>
        <v>4.1666666666666657E-2</v>
      </c>
      <c r="W37" s="1">
        <f>IF(T37="No Data","No Data",T37/(5-IF(T37&lt;5,VLOOKUP($A37,'Data Gaps'!$A:$N,11,FALSE),0)))</f>
        <v>0.6</v>
      </c>
      <c r="X37" s="40">
        <f t="shared" si="6"/>
        <v>38.155679521220051</v>
      </c>
    </row>
    <row r="38" spans="1:24" x14ac:dyDescent="0.35">
      <c r="A38" s="1" t="s">
        <v>47</v>
      </c>
      <c r="B38" s="28" t="s">
        <v>48</v>
      </c>
      <c r="C38" s="1" t="s">
        <v>49</v>
      </c>
      <c r="D38" s="1" t="s">
        <v>50</v>
      </c>
      <c r="E38" s="29" t="s">
        <v>9</v>
      </c>
      <c r="F38" s="28" t="s">
        <v>159</v>
      </c>
      <c r="G38" s="28" t="str">
        <f>VLOOKUP($A38,'EBA2017'!$A:$G,7,FALSE)</f>
        <v>Two</v>
      </c>
      <c r="H38" s="32" t="str">
        <f>VLOOKUP($A38,'EBA2017'!$A:$AE,27,FALSE)</f>
        <v>N/A</v>
      </c>
      <c r="I38" s="28">
        <f t="shared" si="0"/>
        <v>0</v>
      </c>
      <c r="J38" s="1" t="str">
        <f>VLOOKUP($A38,'EBA2017'!$A:$AE,28,FALSE)</f>
        <v>N/A</v>
      </c>
      <c r="K38" s="28">
        <f t="shared" si="1"/>
        <v>0</v>
      </c>
      <c r="L38" s="28">
        <f t="shared" si="2"/>
        <v>0</v>
      </c>
      <c r="M38" s="32">
        <f>VLOOKUP($A38,'EBA2017'!$A:$AE,29,FALSE)</f>
        <v>1</v>
      </c>
      <c r="N38" s="28">
        <f t="shared" si="3"/>
        <v>100</v>
      </c>
      <c r="O38" s="1">
        <f>VLOOKUP($A38,'EBA2017'!$A:$AE,30,FALSE)</f>
        <v>1.9196790108043058</v>
      </c>
      <c r="P38" s="28">
        <f t="shared" si="4"/>
        <v>94.87200395843567</v>
      </c>
      <c r="Q38" s="28">
        <f t="shared" si="5"/>
        <v>0.97436001979217834</v>
      </c>
      <c r="R38" s="32">
        <f>VLOOKUP($A38,'EBA2017'!$A:$Z,24,FALSE)</f>
        <v>4</v>
      </c>
      <c r="S38" s="1">
        <f>VLOOKUP($A38,'EBA2017'!$A:$Z,25,FALSE)</f>
        <v>2.3333333333333335</v>
      </c>
      <c r="T38" s="1">
        <f>VLOOKUP($A38,'EBA2017'!$A:$Z,26,FALSE)</f>
        <v>2</v>
      </c>
      <c r="U38" s="32">
        <f>IF(R38="No Data","No Data",R38/(5-IF(R38&lt;5,VLOOKUP($A38,'Data Gaps'!$A:$N,9,FALSE),0)))</f>
        <v>1</v>
      </c>
      <c r="V38" s="1">
        <f>IF(S38="No Data", "No Data",S38/(8-IF(S38&lt;8,VLOOKUP($A38,'Data Gaps'!$A:$N,10,FALSE),0)))</f>
        <v>0.29166666666666669</v>
      </c>
      <c r="W38" s="1">
        <f>IF(T38="No Data","No Data",T38/(5-IF(T38&lt;5,VLOOKUP($A38,'Data Gaps'!$A:$N,11,FALSE),0)))</f>
        <v>0.5</v>
      </c>
      <c r="X38" s="40">
        <f t="shared" si="6"/>
        <v>55.320533729176901</v>
      </c>
    </row>
    <row r="39" spans="1:24" x14ac:dyDescent="0.35">
      <c r="A39" s="1" t="s">
        <v>51</v>
      </c>
      <c r="B39" s="28" t="s">
        <v>52</v>
      </c>
      <c r="C39" s="1" t="s">
        <v>16</v>
      </c>
      <c r="D39" s="1" t="s">
        <v>17</v>
      </c>
      <c r="E39" s="29" t="s">
        <v>18</v>
      </c>
      <c r="F39" s="28" t="s">
        <v>160</v>
      </c>
      <c r="G39" s="28" t="str">
        <f>VLOOKUP($A39,'EBA2017'!$A:$G,7,FALSE)</f>
        <v>Two</v>
      </c>
      <c r="H39" s="32" t="str">
        <f>VLOOKUP($A39,'EBA2017'!$A:$AE,27,FALSE)</f>
        <v>No practice</v>
      </c>
      <c r="I39" s="28">
        <f t="shared" si="0"/>
        <v>0</v>
      </c>
      <c r="J39" s="1" t="str">
        <f>VLOOKUP($A39,'EBA2017'!$A:$AE,28,FALSE)</f>
        <v>No practice</v>
      </c>
      <c r="K39" s="28">
        <f t="shared" si="1"/>
        <v>0</v>
      </c>
      <c r="L39" s="28">
        <f t="shared" si="2"/>
        <v>0</v>
      </c>
      <c r="M39" s="32">
        <f>VLOOKUP($A39,'EBA2017'!$A:$AE,29,FALSE)</f>
        <v>2</v>
      </c>
      <c r="N39" s="28">
        <f t="shared" si="3"/>
        <v>96.153846153846146</v>
      </c>
      <c r="O39" s="1">
        <f>VLOOKUP($A39,'EBA2017'!$A:$AE,30,FALSE)</f>
        <v>1.8634498819950984</v>
      </c>
      <c r="P39" s="28">
        <f t="shared" si="4"/>
        <v>95.024131722528537</v>
      </c>
      <c r="Q39" s="28">
        <f t="shared" si="5"/>
        <v>0.95588988938187347</v>
      </c>
      <c r="R39" s="32">
        <f>VLOOKUP($A39,'EBA2017'!$A:$Z,24,FALSE)</f>
        <v>3.5</v>
      </c>
      <c r="S39" s="1">
        <f>VLOOKUP($A39,'EBA2017'!$A:$Z,25,FALSE)</f>
        <v>4.333333333333333</v>
      </c>
      <c r="T39" s="1">
        <f>VLOOKUP($A39,'EBA2017'!$A:$Z,26,FALSE)</f>
        <v>3</v>
      </c>
      <c r="U39" s="32">
        <f>IF(R39="No Data","No Data",R39/(5-IF(R39&lt;5,VLOOKUP($A39,'Data Gaps'!$A:$N,9,FALSE),0)))</f>
        <v>0.7</v>
      </c>
      <c r="V39" s="1">
        <f>IF(S39="No Data", "No Data",S39/(8-IF(S39&lt;8,VLOOKUP($A39,'Data Gaps'!$A:$N,10,FALSE),0)))</f>
        <v>0.54166666666666663</v>
      </c>
      <c r="W39" s="1">
        <f>IF(T39="No Data","No Data",T39/(5-IF(T39&lt;5,VLOOKUP($A39,'Data Gaps'!$A:$N,11,FALSE),0)))</f>
        <v>0.6</v>
      </c>
      <c r="X39" s="40">
        <f t="shared" si="6"/>
        <v>55.951131120970807</v>
      </c>
    </row>
    <row r="40" spans="1:24" x14ac:dyDescent="0.35">
      <c r="A40" s="1" t="s">
        <v>55</v>
      </c>
      <c r="B40" s="28" t="s">
        <v>56</v>
      </c>
      <c r="C40" s="1" t="s">
        <v>16</v>
      </c>
      <c r="D40" s="1" t="s">
        <v>17</v>
      </c>
      <c r="E40" s="29" t="s">
        <v>9</v>
      </c>
      <c r="F40" s="28" t="s">
        <v>160</v>
      </c>
      <c r="G40" s="28" t="str">
        <f>VLOOKUP($A40,'EBA2017'!$A:$G,7,FALSE)</f>
        <v>Two</v>
      </c>
      <c r="H40" s="32" t="str">
        <f>VLOOKUP($A40,'EBA2017'!$A:$AE,27,FALSE)</f>
        <v>N/A</v>
      </c>
      <c r="I40" s="28">
        <f t="shared" si="0"/>
        <v>0</v>
      </c>
      <c r="J40" s="1" t="str">
        <f>VLOOKUP($A40,'EBA2017'!$A:$AE,28,FALSE)</f>
        <v>N/A</v>
      </c>
      <c r="K40" s="28">
        <f t="shared" si="1"/>
        <v>0</v>
      </c>
      <c r="L40" s="28">
        <f t="shared" si="2"/>
        <v>0</v>
      </c>
      <c r="M40" s="32">
        <f>VLOOKUP($A40,'EBA2017'!$A:$AE,29,FALSE)</f>
        <v>30</v>
      </c>
      <c r="N40" s="28">
        <f t="shared" si="3"/>
        <v>0</v>
      </c>
      <c r="O40" s="1">
        <f>VLOOKUP($A40,'EBA2017'!$A:$AE,30,FALSE)</f>
        <v>10.10758982813015</v>
      </c>
      <c r="P40" s="28">
        <f t="shared" si="4"/>
        <v>72.71963219649821</v>
      </c>
      <c r="Q40" s="28">
        <f t="shared" si="5"/>
        <v>0.36359816098249104</v>
      </c>
      <c r="R40" s="32">
        <f>VLOOKUP($A40,'EBA2017'!$A:$Z,24,FALSE)</f>
        <v>3.5</v>
      </c>
      <c r="S40" s="1">
        <f>VLOOKUP($A40,'EBA2017'!$A:$Z,25,FALSE)</f>
        <v>2</v>
      </c>
      <c r="T40" s="1">
        <f>VLOOKUP($A40,'EBA2017'!$A:$Z,26,FALSE)</f>
        <v>5</v>
      </c>
      <c r="U40" s="32">
        <f>IF(R40="No Data","No Data",R40/(5-IF(R40&lt;5,VLOOKUP($A40,'Data Gaps'!$A:$N,9,FALSE),0)))</f>
        <v>0.7</v>
      </c>
      <c r="V40" s="1">
        <f>IF(S40="No Data", "No Data",S40/(8-IF(S40&lt;8,VLOOKUP($A40,'Data Gaps'!$A:$N,10,FALSE),0)))</f>
        <v>0.25</v>
      </c>
      <c r="W40" s="1">
        <f>IF(T40="No Data","No Data",T40/(5-IF(T40&lt;5,VLOOKUP($A40,'Data Gaps'!$A:$N,11,FALSE),0)))</f>
        <v>1</v>
      </c>
      <c r="X40" s="40">
        <f t="shared" si="6"/>
        <v>46.271963219649827</v>
      </c>
    </row>
    <row r="41" spans="1:24" x14ac:dyDescent="0.35">
      <c r="A41" s="1" t="s">
        <v>59</v>
      </c>
      <c r="B41" s="28" t="s">
        <v>60</v>
      </c>
      <c r="C41" s="1" t="s">
        <v>21</v>
      </c>
      <c r="D41" s="1" t="s">
        <v>22</v>
      </c>
      <c r="E41" s="28" t="s">
        <v>9</v>
      </c>
      <c r="F41" s="28" t="s">
        <v>159</v>
      </c>
      <c r="G41" s="28" t="str">
        <f>VLOOKUP($A41,'EBA2017'!$A:$G,7,FALSE)</f>
        <v>Two</v>
      </c>
      <c r="H41" s="32" t="str">
        <f>VLOOKUP($A41,'EBA2017'!$A:$AE,27,FALSE)</f>
        <v>N/A</v>
      </c>
      <c r="I41" s="28">
        <f t="shared" si="0"/>
        <v>0</v>
      </c>
      <c r="J41" s="1" t="str">
        <f>VLOOKUP($A41,'EBA2017'!$A:$AE,28,FALSE)</f>
        <v>N/A</v>
      </c>
      <c r="K41" s="28">
        <f t="shared" si="1"/>
        <v>0</v>
      </c>
      <c r="L41" s="28">
        <f t="shared" si="2"/>
        <v>0</v>
      </c>
      <c r="M41" s="32" t="str">
        <f>VLOOKUP($A41,'EBA2017'!$A:$AE,29,FALSE)</f>
        <v>N/A</v>
      </c>
      <c r="N41" s="28">
        <f t="shared" si="3"/>
        <v>0</v>
      </c>
      <c r="O41" s="1" t="str">
        <f>VLOOKUP($A41,'EBA2017'!$A:$AE,30,FALSE)</f>
        <v>N/A</v>
      </c>
      <c r="P41" s="28">
        <f t="shared" si="4"/>
        <v>0</v>
      </c>
      <c r="Q41" s="28">
        <f t="shared" si="5"/>
        <v>0</v>
      </c>
      <c r="R41" s="32">
        <f>VLOOKUP($A41,'EBA2017'!$A:$Z,24,FALSE)</f>
        <v>0</v>
      </c>
      <c r="S41" s="1">
        <f>VLOOKUP($A41,'EBA2017'!$A:$Z,25,FALSE)</f>
        <v>0.33333333333333326</v>
      </c>
      <c r="T41" s="1">
        <f>VLOOKUP($A41,'EBA2017'!$A:$Z,26,FALSE)</f>
        <v>4.5</v>
      </c>
      <c r="U41" s="32">
        <f>IF(R41="No Data","No Data",R41/(5-IF(R41&lt;5,VLOOKUP($A41,'Data Gaps'!$A:$N,9,FALSE),0)))</f>
        <v>0</v>
      </c>
      <c r="V41" s="1">
        <f>IF(S41="No Data", "No Data",S41/(8-IF(S41&lt;8,VLOOKUP($A41,'Data Gaps'!$A:$N,10,FALSE),0)))</f>
        <v>4.1666666666666657E-2</v>
      </c>
      <c r="W41" s="1">
        <f>IF(T41="No Data","No Data",T41/(5-IF(T41&lt;5,VLOOKUP($A41,'Data Gaps'!$A:$N,11,FALSE),0)))</f>
        <v>0.9</v>
      </c>
      <c r="X41" s="40">
        <f t="shared" si="6"/>
        <v>18.833333333333332</v>
      </c>
    </row>
    <row r="42" spans="1:24" x14ac:dyDescent="0.35">
      <c r="A42" s="1" t="s">
        <v>61</v>
      </c>
      <c r="B42" s="28" t="s">
        <v>62</v>
      </c>
      <c r="C42" s="1" t="s">
        <v>21</v>
      </c>
      <c r="D42" s="1" t="s">
        <v>22</v>
      </c>
      <c r="E42" s="28" t="s">
        <v>18</v>
      </c>
      <c r="F42" s="28" t="s">
        <v>159</v>
      </c>
      <c r="G42" s="28" t="str">
        <f>VLOOKUP($A42,'EBA2017'!$A:$G,7,FALSE)</f>
        <v>Two</v>
      </c>
      <c r="H42" s="32" t="str">
        <f>VLOOKUP($A42,'EBA2017'!$A:$AE,27,FALSE)</f>
        <v>N/A</v>
      </c>
      <c r="I42" s="28">
        <f t="shared" si="0"/>
        <v>0</v>
      </c>
      <c r="J42" s="1" t="str">
        <f>VLOOKUP($A42,'EBA2017'!$A:$AE,28,FALSE)</f>
        <v>N/A</v>
      </c>
      <c r="K42" s="28">
        <f t="shared" si="1"/>
        <v>0</v>
      </c>
      <c r="L42" s="28">
        <f t="shared" si="2"/>
        <v>0</v>
      </c>
      <c r="M42" s="32">
        <f>VLOOKUP($A42,'EBA2017'!$A:$AE,29,FALSE)</f>
        <v>5</v>
      </c>
      <c r="N42" s="28">
        <f t="shared" si="3"/>
        <v>84.615384615384599</v>
      </c>
      <c r="O42" s="1">
        <f>VLOOKUP($A42,'EBA2017'!$A:$AE,30,FALSE)</f>
        <v>40.849287281432119</v>
      </c>
      <c r="P42" s="28">
        <f t="shared" si="4"/>
        <v>0</v>
      </c>
      <c r="Q42" s="28">
        <f t="shared" si="5"/>
        <v>0.42307692307692302</v>
      </c>
      <c r="R42" s="32">
        <f>VLOOKUP($A42,'EBA2017'!$A:$Z,24,FALSE)</f>
        <v>2.5</v>
      </c>
      <c r="S42" s="1">
        <f>VLOOKUP($A42,'EBA2017'!$A:$Z,25,FALSE)</f>
        <v>0.33333333333333326</v>
      </c>
      <c r="T42" s="1">
        <f>VLOOKUP($A42,'EBA2017'!$A:$Z,26,FALSE)</f>
        <v>5</v>
      </c>
      <c r="U42" s="32">
        <f>IF(R42="No Data","No Data",R42/(5-IF(R42&lt;5,VLOOKUP($A42,'Data Gaps'!$A:$N,9,FALSE),0)))</f>
        <v>0.625</v>
      </c>
      <c r="V42" s="1">
        <f>IF(S42="No Data", "No Data",S42/(8-IF(S42&lt;8,VLOOKUP($A42,'Data Gaps'!$A:$N,10,FALSE),0)))</f>
        <v>4.1666666666666657E-2</v>
      </c>
      <c r="W42" s="1">
        <f>IF(T42="No Data","No Data",T42/(5-IF(T42&lt;5,VLOOKUP($A42,'Data Gaps'!$A:$N,11,FALSE),0)))</f>
        <v>1</v>
      </c>
      <c r="X42" s="40">
        <f t="shared" si="6"/>
        <v>41.794871794871788</v>
      </c>
    </row>
    <row r="43" spans="1:24" x14ac:dyDescent="0.35">
      <c r="A43" s="1" t="s">
        <v>63</v>
      </c>
      <c r="B43" s="28" t="s">
        <v>146</v>
      </c>
      <c r="C43" s="1" t="s">
        <v>12</v>
      </c>
      <c r="D43" s="1" t="s">
        <v>13</v>
      </c>
      <c r="E43" s="28" t="s">
        <v>9</v>
      </c>
      <c r="F43" s="28" t="s">
        <v>162</v>
      </c>
      <c r="G43" s="28" t="str">
        <f>VLOOKUP($A43,'EBA2017'!$A:$G,7,FALSE)</f>
        <v>Two</v>
      </c>
      <c r="H43" s="32">
        <f>VLOOKUP($A43,'EBA2017'!$A:$AE,27,FALSE)</f>
        <v>270</v>
      </c>
      <c r="I43" s="28">
        <f t="shared" si="0"/>
        <v>3.2903108525723033</v>
      </c>
      <c r="J43" s="1">
        <f>VLOOKUP($A43,'EBA2017'!$A:$AE,28,FALSE)</f>
        <v>604.35478441387988</v>
      </c>
      <c r="K43" s="28">
        <f t="shared" si="1"/>
        <v>0</v>
      </c>
      <c r="L43" s="28">
        <f t="shared" si="2"/>
        <v>1.6451554262861517E-2</v>
      </c>
      <c r="M43" s="32">
        <f>VLOOKUP($A43,'EBA2017'!$A:$AE,29,FALSE)</f>
        <v>7</v>
      </c>
      <c r="N43" s="28">
        <f t="shared" si="3"/>
        <v>76.923076923076877</v>
      </c>
      <c r="O43" s="1">
        <f>VLOOKUP($A43,'EBA2017'!$A:$AE,30,FALSE)</f>
        <v>0.1955233275143903</v>
      </c>
      <c r="P43" s="28">
        <f t="shared" si="4"/>
        <v>99.536702747151821</v>
      </c>
      <c r="Q43" s="28">
        <f t="shared" si="5"/>
        <v>0.8822988983511435</v>
      </c>
      <c r="R43" s="32">
        <f>VLOOKUP($A43,'EBA2017'!$A:$Z,24,FALSE)</f>
        <v>3.5</v>
      </c>
      <c r="S43" s="1">
        <f>VLOOKUP($A43,'EBA2017'!$A:$Z,25,FALSE)</f>
        <v>3.8333333333333339</v>
      </c>
      <c r="T43" s="1">
        <f>VLOOKUP($A43,'EBA2017'!$A:$Z,26,FALSE)</f>
        <v>4.5</v>
      </c>
      <c r="U43" s="32">
        <f>IF(R43="No Data","No Data",R43/(5-IF(R43&lt;5,VLOOKUP($A43,'Data Gaps'!$A:$N,9,FALSE),0)))</f>
        <v>0.7</v>
      </c>
      <c r="V43" s="1">
        <f>IF(S43="No Data", "No Data",S43/(8-IF(S43&lt;8,VLOOKUP($A43,'Data Gaps'!$A:$N,10,FALSE),0)))</f>
        <v>0.47916666666666674</v>
      </c>
      <c r="W43" s="1">
        <f>IF(T43="No Data","No Data",T43/(5-IF(T43&lt;5,VLOOKUP($A43,'Data Gaps'!$A:$N,11,FALSE),0)))</f>
        <v>0.9</v>
      </c>
      <c r="X43" s="40">
        <f t="shared" si="6"/>
        <v>59.558342385613436</v>
      </c>
    </row>
    <row r="44" spans="1:24" x14ac:dyDescent="0.35">
      <c r="A44" s="1" t="s">
        <v>66</v>
      </c>
      <c r="B44" s="28" t="s">
        <v>67</v>
      </c>
      <c r="C44" s="1" t="s">
        <v>49</v>
      </c>
      <c r="D44" s="1" t="s">
        <v>50</v>
      </c>
      <c r="E44" s="28" t="s">
        <v>25</v>
      </c>
      <c r="F44" s="28" t="s">
        <v>161</v>
      </c>
      <c r="G44" s="28" t="str">
        <f>VLOOKUP($A44,'EBA2017'!$A:$G,7,FALSE)</f>
        <v>Two</v>
      </c>
      <c r="H44" s="32" t="str">
        <f>VLOOKUP($A44,'EBA2017'!$A:$AE,27,FALSE)</f>
        <v>N/A</v>
      </c>
      <c r="I44" s="28">
        <f t="shared" si="0"/>
        <v>0</v>
      </c>
      <c r="J44" s="1" t="str">
        <f>VLOOKUP($A44,'EBA2017'!$A:$AE,28,FALSE)</f>
        <v>N/A</v>
      </c>
      <c r="K44" s="28">
        <f t="shared" si="1"/>
        <v>0</v>
      </c>
      <c r="L44" s="28">
        <f t="shared" si="2"/>
        <v>0</v>
      </c>
      <c r="M44" s="32">
        <f>VLOOKUP($A44,'EBA2017'!$A:$AE,29,FALSE)</f>
        <v>1</v>
      </c>
      <c r="N44" s="28">
        <f t="shared" si="3"/>
        <v>100</v>
      </c>
      <c r="O44" s="1">
        <f>VLOOKUP($A44,'EBA2017'!$A:$AE,30,FALSE)</f>
        <v>20.218620533128242</v>
      </c>
      <c r="P44" s="28">
        <f t="shared" si="4"/>
        <v>45.364264500073439</v>
      </c>
      <c r="Q44" s="28">
        <f t="shared" si="5"/>
        <v>0.72682132250036713</v>
      </c>
      <c r="R44" s="32">
        <f>VLOOKUP($A44,'EBA2017'!$A:$Z,24,FALSE)</f>
        <v>4</v>
      </c>
      <c r="S44" s="1">
        <f>VLOOKUP($A44,'EBA2017'!$A:$Z,25,FALSE)</f>
        <v>1.1666666666666665</v>
      </c>
      <c r="T44" s="1">
        <f>VLOOKUP($A44,'EBA2017'!$A:$Z,26,FALSE)</f>
        <v>4.5</v>
      </c>
      <c r="U44" s="32">
        <f>IF(R44="No Data","No Data",R44/(5-IF(R44&lt;5,VLOOKUP($A44,'Data Gaps'!$A:$N,9,FALSE),0)))</f>
        <v>0.8</v>
      </c>
      <c r="V44" s="1">
        <f>IF(S44="No Data", "No Data",S44/(8-IF(S44&lt;8,VLOOKUP($A44,'Data Gaps'!$A:$N,10,FALSE),0)))</f>
        <v>0.14583333333333331</v>
      </c>
      <c r="W44" s="1">
        <f>IF(T44="No Data","No Data",T44/(5-IF(T44&lt;5,VLOOKUP($A44,'Data Gaps'!$A:$N,11,FALSE),0)))</f>
        <v>0.9</v>
      </c>
      <c r="X44" s="40">
        <f t="shared" si="6"/>
        <v>51.453093116674012</v>
      </c>
    </row>
    <row r="45" spans="1:24" x14ac:dyDescent="0.35">
      <c r="A45" s="1" t="s">
        <v>70</v>
      </c>
      <c r="B45" s="28" t="s">
        <v>71</v>
      </c>
      <c r="C45" s="1" t="s">
        <v>16</v>
      </c>
      <c r="D45" s="1" t="s">
        <v>17</v>
      </c>
      <c r="E45" s="28" t="s">
        <v>9</v>
      </c>
      <c r="F45" s="28" t="s">
        <v>160</v>
      </c>
      <c r="G45" s="28" t="str">
        <f>VLOOKUP($A45,'EBA2017'!$A:$G,7,FALSE)</f>
        <v>Two</v>
      </c>
      <c r="H45" s="32" t="str">
        <f>VLOOKUP($A45,'EBA2017'!$A:$AE,27,FALSE)</f>
        <v>N/A</v>
      </c>
      <c r="I45" s="28">
        <f t="shared" si="0"/>
        <v>0</v>
      </c>
      <c r="J45" s="1" t="str">
        <f>VLOOKUP($A45,'EBA2017'!$A:$AE,28,FALSE)</f>
        <v>N/A</v>
      </c>
      <c r="K45" s="28">
        <f t="shared" si="1"/>
        <v>0</v>
      </c>
      <c r="L45" s="28">
        <f t="shared" si="2"/>
        <v>0</v>
      </c>
      <c r="M45" s="32">
        <f>VLOOKUP($A45,'EBA2017'!$A:$AE,29,FALSE)</f>
        <v>7</v>
      </c>
      <c r="N45" s="28">
        <f t="shared" si="3"/>
        <v>76.923076923076877</v>
      </c>
      <c r="O45" s="1">
        <f>VLOOKUP($A45,'EBA2017'!$A:$AE,30,FALSE)</f>
        <v>2.0416007554752129</v>
      </c>
      <c r="P45" s="28">
        <f t="shared" si="4"/>
        <v>94.542144990248218</v>
      </c>
      <c r="Q45" s="28">
        <f t="shared" si="5"/>
        <v>0.85732610956662536</v>
      </c>
      <c r="R45" s="32">
        <f>VLOOKUP($A45,'EBA2017'!$A:$Z,24,FALSE)</f>
        <v>2.5</v>
      </c>
      <c r="S45" s="1">
        <f>VLOOKUP($A45,'EBA2017'!$A:$Z,25,FALSE)</f>
        <v>2.6666666666666661</v>
      </c>
      <c r="T45" s="1">
        <f>VLOOKUP($A45,'EBA2017'!$A:$Z,26,FALSE)</f>
        <v>5</v>
      </c>
      <c r="U45" s="32">
        <f>IF(R45="No Data","No Data",R45/(5-IF(R45&lt;5,VLOOKUP($A45,'Data Gaps'!$A:$N,9,FALSE),0)))</f>
        <v>0.5</v>
      </c>
      <c r="V45" s="1">
        <f>IF(S45="No Data", "No Data",S45/(8-IF(S45&lt;8,VLOOKUP($A45,'Data Gaps'!$A:$N,10,FALSE),0)))</f>
        <v>0.33333333333333326</v>
      </c>
      <c r="W45" s="1">
        <f>IF(T45="No Data","No Data",T45/(5-IF(T45&lt;5,VLOOKUP($A45,'Data Gaps'!$A:$N,11,FALSE),0)))</f>
        <v>1</v>
      </c>
      <c r="X45" s="40">
        <f t="shared" si="6"/>
        <v>53.813188857999172</v>
      </c>
    </row>
    <row r="46" spans="1:24" x14ac:dyDescent="0.35">
      <c r="A46" s="1" t="s">
        <v>30</v>
      </c>
      <c r="B46" s="28" t="s">
        <v>31</v>
      </c>
      <c r="C46" s="1" t="s">
        <v>32</v>
      </c>
      <c r="D46" s="1" t="s">
        <v>33</v>
      </c>
      <c r="E46" s="29" t="s">
        <v>9</v>
      </c>
      <c r="F46" s="28" t="s">
        <v>162</v>
      </c>
      <c r="G46" s="28" t="str">
        <f>VLOOKUP($A46,'EBA2017'!$A:$G,7,FALSE)</f>
        <v>Two</v>
      </c>
      <c r="H46" s="32" t="str">
        <f>VLOOKUP($A46,'EBA2017'!$A:$AE,27,FALSE)</f>
        <v>N/A</v>
      </c>
      <c r="I46" s="28">
        <f t="shared" si="0"/>
        <v>0</v>
      </c>
      <c r="J46" s="1" t="str">
        <f>VLOOKUP($A46,'EBA2017'!$A:$AE,28,FALSE)</f>
        <v>N/A</v>
      </c>
      <c r="K46" s="28">
        <f t="shared" si="1"/>
        <v>0</v>
      </c>
      <c r="L46" s="28">
        <f t="shared" si="2"/>
        <v>0</v>
      </c>
      <c r="M46" s="32">
        <f>VLOOKUP($A46,'EBA2017'!$A:$AE,29,FALSE)</f>
        <v>14</v>
      </c>
      <c r="N46" s="28">
        <f t="shared" si="3"/>
        <v>49.999999999999915</v>
      </c>
      <c r="O46" s="1">
        <f>VLOOKUP($A46,'EBA2017'!$A:$AE,30,FALSE)</f>
        <v>22.464236159388342</v>
      </c>
      <c r="P46" s="28">
        <f t="shared" si="4"/>
        <v>39.28875717016134</v>
      </c>
      <c r="Q46" s="28">
        <f t="shared" si="5"/>
        <v>0.4464437858508063</v>
      </c>
      <c r="R46" s="32">
        <f>VLOOKUP($A46,'EBA2017'!$A:$Z,24,FALSE)</f>
        <v>2.5</v>
      </c>
      <c r="S46" s="1">
        <f>VLOOKUP($A46,'EBA2017'!$A:$Z,25,FALSE)</f>
        <v>0.33333333333333326</v>
      </c>
      <c r="T46" s="1">
        <f>VLOOKUP($A46,'EBA2017'!$A:$Z,26,FALSE)</f>
        <v>5</v>
      </c>
      <c r="U46" s="32">
        <f>IF(R46="No Data","No Data",R46/(5-IF(R46&lt;5,VLOOKUP($A46,'Data Gaps'!$A:$N,9,FALSE),0)))</f>
        <v>0.5</v>
      </c>
      <c r="V46" s="1">
        <f>IF(S46="No Data", "No Data",S46/(8-IF(S46&lt;8,VLOOKUP($A46,'Data Gaps'!$A:$N,10,FALSE),0)))</f>
        <v>4.1666666666666657E-2</v>
      </c>
      <c r="W46" s="1">
        <f>IF(T46="No Data","No Data",T46/(5-IF(T46&lt;5,VLOOKUP($A46,'Data Gaps'!$A:$N,11,FALSE),0)))</f>
        <v>1</v>
      </c>
      <c r="X46" s="40">
        <f t="shared" si="6"/>
        <v>39.762209050349462</v>
      </c>
    </row>
    <row r="47" spans="1:24" x14ac:dyDescent="0.35">
      <c r="A47" s="1" t="s">
        <v>76</v>
      </c>
      <c r="B47" s="28" t="s">
        <v>77</v>
      </c>
      <c r="C47" s="1" t="s">
        <v>32</v>
      </c>
      <c r="D47" s="1" t="s">
        <v>33</v>
      </c>
      <c r="E47" s="28" t="s">
        <v>9</v>
      </c>
      <c r="F47" s="28" t="s">
        <v>160</v>
      </c>
      <c r="G47" s="28" t="str">
        <f>VLOOKUP($A47,'EBA2017'!$A:$G,7,FALSE)</f>
        <v>Two</v>
      </c>
      <c r="H47" s="32" t="str">
        <f>VLOOKUP($A47,'EBA2017'!$A:$AE,27,FALSE)</f>
        <v>N/A</v>
      </c>
      <c r="I47" s="28">
        <f t="shared" si="0"/>
        <v>0</v>
      </c>
      <c r="J47" s="1" t="str">
        <f>VLOOKUP($A47,'EBA2017'!$A:$AE,28,FALSE)</f>
        <v>N/A</v>
      </c>
      <c r="K47" s="28">
        <f t="shared" si="1"/>
        <v>0</v>
      </c>
      <c r="L47" s="28">
        <f t="shared" si="2"/>
        <v>0</v>
      </c>
      <c r="M47" s="32" t="str">
        <f>VLOOKUP($A47,'EBA2017'!$A:$AE,29,FALSE)</f>
        <v>No practice</v>
      </c>
      <c r="N47" s="28">
        <f t="shared" si="3"/>
        <v>0</v>
      </c>
      <c r="O47" s="1" t="str">
        <f>VLOOKUP($A47,'EBA2017'!$A:$AE,30,FALSE)</f>
        <v>No practice</v>
      </c>
      <c r="P47" s="28">
        <f t="shared" si="4"/>
        <v>0</v>
      </c>
      <c r="Q47" s="28">
        <f t="shared" si="5"/>
        <v>0</v>
      </c>
      <c r="R47" s="32">
        <f>VLOOKUP($A47,'EBA2017'!$A:$Z,24,FALSE)</f>
        <v>1</v>
      </c>
      <c r="S47" s="1">
        <f>VLOOKUP($A47,'EBA2017'!$A:$Z,25,FALSE)</f>
        <v>0.33333333333333326</v>
      </c>
      <c r="T47" s="1">
        <f>VLOOKUP($A47,'EBA2017'!$A:$Z,26,FALSE)</f>
        <v>2.5</v>
      </c>
      <c r="U47" s="32">
        <f>IF(R47="No Data","No Data",R47/(5-IF(R47&lt;5,VLOOKUP($A47,'Data Gaps'!$A:$N,9,FALSE),0)))</f>
        <v>0.2</v>
      </c>
      <c r="V47" s="1">
        <f>IF(S47="No Data", "No Data",S47/(8-IF(S47&lt;8,VLOOKUP($A47,'Data Gaps'!$A:$N,10,FALSE),0)))</f>
        <v>4.1666666666666657E-2</v>
      </c>
      <c r="W47" s="1">
        <f>IF(T47="No Data","No Data",T47/(5-IF(T47&lt;5,VLOOKUP($A47,'Data Gaps'!$A:$N,11,FALSE),0)))</f>
        <v>0.5</v>
      </c>
      <c r="X47" s="40">
        <f t="shared" si="6"/>
        <v>14.833333333333334</v>
      </c>
    </row>
    <row r="48" spans="1:24" x14ac:dyDescent="0.35">
      <c r="A48" s="1" t="s">
        <v>122</v>
      </c>
      <c r="B48" s="28" t="s">
        <v>123</v>
      </c>
      <c r="C48" s="1" t="s">
        <v>12</v>
      </c>
      <c r="D48" s="1" t="s">
        <v>13</v>
      </c>
      <c r="E48" s="29" t="s">
        <v>9</v>
      </c>
      <c r="F48" s="28" t="s">
        <v>160</v>
      </c>
      <c r="G48" s="28" t="str">
        <f>VLOOKUP($A48,'EBA2017'!$A:$G,7,FALSE)</f>
        <v>Two</v>
      </c>
      <c r="H48" s="32" t="str">
        <f>VLOOKUP($A48,'EBA2017'!$A:$AE,27,FALSE)</f>
        <v>N/A</v>
      </c>
      <c r="I48" s="28">
        <f t="shared" si="0"/>
        <v>0</v>
      </c>
      <c r="J48" s="1" t="str">
        <f>VLOOKUP($A48,'EBA2017'!$A:$AE,28,FALSE)</f>
        <v>N/A</v>
      </c>
      <c r="K48" s="28">
        <f t="shared" si="1"/>
        <v>0</v>
      </c>
      <c r="L48" s="28">
        <f t="shared" si="2"/>
        <v>0</v>
      </c>
      <c r="M48" s="32">
        <f>VLOOKUP($A48,'EBA2017'!$A:$AE,29,FALSE)</f>
        <v>3</v>
      </c>
      <c r="N48" s="28">
        <f t="shared" si="3"/>
        <v>92.307692307692292</v>
      </c>
      <c r="O48" s="1">
        <f>VLOOKUP($A48,'EBA2017'!$A:$AE,30,FALSE)</f>
        <v>3.2765041066799672</v>
      </c>
      <c r="P48" s="28">
        <f t="shared" si="4"/>
        <v>91.201117133903736</v>
      </c>
      <c r="Q48" s="28">
        <f t="shared" si="5"/>
        <v>0.91754404720798022</v>
      </c>
      <c r="R48" s="32">
        <f>VLOOKUP($A48,'EBA2017'!$A:$Z,24,FALSE)</f>
        <v>2.5</v>
      </c>
      <c r="S48" s="1">
        <f>VLOOKUP($A48,'EBA2017'!$A:$Z,25,FALSE)</f>
        <v>2.3333333333333335</v>
      </c>
      <c r="T48" s="1">
        <f>VLOOKUP($A48,'EBA2017'!$A:$Z,26,FALSE)</f>
        <v>3</v>
      </c>
      <c r="U48" s="32">
        <f>IF(R48="No Data","No Data",R48/(5-IF(R48&lt;5,VLOOKUP($A48,'Data Gaps'!$A:$N,9,FALSE),0)))</f>
        <v>0.5</v>
      </c>
      <c r="V48" s="1">
        <f>IF(S48="No Data", "No Data",S48/(8-IF(S48&lt;8,VLOOKUP($A48,'Data Gaps'!$A:$N,10,FALSE),0)))</f>
        <v>0.29166666666666669</v>
      </c>
      <c r="W48" s="1">
        <f>IF(T48="No Data","No Data",T48/(5-IF(T48&lt;5,VLOOKUP($A48,'Data Gaps'!$A:$N,11,FALSE),0)))</f>
        <v>0.6</v>
      </c>
      <c r="X48" s="40">
        <f t="shared" si="6"/>
        <v>46.184214277492934</v>
      </c>
    </row>
    <row r="49" spans="1:24" x14ac:dyDescent="0.35">
      <c r="A49" s="1" t="s">
        <v>88</v>
      </c>
      <c r="B49" s="28" t="s">
        <v>89</v>
      </c>
      <c r="C49" s="1" t="s">
        <v>49</v>
      </c>
      <c r="D49" s="1" t="s">
        <v>50</v>
      </c>
      <c r="E49" s="28" t="s">
        <v>9</v>
      </c>
      <c r="F49" s="28" t="s">
        <v>161</v>
      </c>
      <c r="G49" s="28" t="str">
        <f>VLOOKUP($A49,'EBA2017'!$A:$G,7,FALSE)</f>
        <v>Two</v>
      </c>
      <c r="H49" s="32">
        <f>VLOOKUP($A49,'EBA2017'!$A:$AE,27,FALSE)</f>
        <v>31</v>
      </c>
      <c r="I49" s="28">
        <f t="shared" si="0"/>
        <v>90.183602981276138</v>
      </c>
      <c r="J49" s="1">
        <f>VLOOKUP($A49,'EBA2017'!$A:$AE,28,FALSE)</f>
        <v>271.98640771354741</v>
      </c>
      <c r="K49" s="28">
        <f t="shared" si="1"/>
        <v>51.552556646171134</v>
      </c>
      <c r="L49" s="28">
        <f t="shared" si="2"/>
        <v>0.70868079813723639</v>
      </c>
      <c r="M49" s="32">
        <f>VLOOKUP($A49,'EBA2017'!$A:$AE,29,FALSE)</f>
        <v>1</v>
      </c>
      <c r="N49" s="28">
        <f t="shared" si="3"/>
        <v>100</v>
      </c>
      <c r="O49" s="1">
        <f>VLOOKUP($A49,'EBA2017'!$A:$AE,30,FALSE)</f>
        <v>1.2874023298441242</v>
      </c>
      <c r="P49" s="28">
        <f t="shared" si="4"/>
        <v>96.582626900663598</v>
      </c>
      <c r="Q49" s="28">
        <f t="shared" si="5"/>
        <v>0.98291313450331796</v>
      </c>
      <c r="R49" s="32">
        <f>VLOOKUP($A49,'EBA2017'!$A:$Z,24,FALSE)</f>
        <v>0.5</v>
      </c>
      <c r="S49" s="1">
        <f>VLOOKUP($A49,'EBA2017'!$A:$Z,25,FALSE)</f>
        <v>5</v>
      </c>
      <c r="T49" s="1">
        <f>VLOOKUP($A49,'EBA2017'!$A:$Z,26,FALSE)</f>
        <v>3</v>
      </c>
      <c r="U49" s="32">
        <f>IF(R49="No Data","No Data",R49/(5-IF(R49&lt;5,VLOOKUP($A49,'Data Gaps'!$A:$N,9,FALSE),0)))</f>
        <v>0.1</v>
      </c>
      <c r="V49" s="1">
        <f>IF(S49="No Data", "No Data",S49/(8-IF(S49&lt;8,VLOOKUP($A49,'Data Gaps'!$A:$N,10,FALSE),0)))</f>
        <v>0.625</v>
      </c>
      <c r="W49" s="1">
        <f>IF(T49="No Data","No Data",T49/(5-IF(T49&lt;5,VLOOKUP($A49,'Data Gaps'!$A:$N,11,FALSE),0)))</f>
        <v>0.6</v>
      </c>
      <c r="X49" s="40">
        <f t="shared" si="6"/>
        <v>60.331878652811085</v>
      </c>
    </row>
    <row r="50" spans="1:24" x14ac:dyDescent="0.35">
      <c r="A50" s="1" t="s">
        <v>86</v>
      </c>
      <c r="B50" s="28" t="s">
        <v>87</v>
      </c>
      <c r="C50" s="1" t="s">
        <v>21</v>
      </c>
      <c r="D50" s="1" t="s">
        <v>22</v>
      </c>
      <c r="E50" s="28" t="s">
        <v>25</v>
      </c>
      <c r="F50" s="28" t="s">
        <v>161</v>
      </c>
      <c r="G50" s="28" t="str">
        <f>VLOOKUP($A50,'EBA2017'!$A:$G,7,FALSE)</f>
        <v>Two</v>
      </c>
      <c r="H50" s="32" t="str">
        <f>VLOOKUP($A50,'EBA2017'!$A:$AE,27,FALSE)</f>
        <v>N/A</v>
      </c>
      <c r="I50" s="28">
        <f t="shared" si="0"/>
        <v>0</v>
      </c>
      <c r="J50" s="1" t="str">
        <f>VLOOKUP($A50,'EBA2017'!$A:$AE,28,FALSE)</f>
        <v>N/A</v>
      </c>
      <c r="K50" s="28">
        <f t="shared" si="1"/>
        <v>0</v>
      </c>
      <c r="L50" s="28">
        <f t="shared" si="2"/>
        <v>0</v>
      </c>
      <c r="M50" s="32" t="str">
        <f>VLOOKUP($A50,'EBA2017'!$A:$AE,29,FALSE)</f>
        <v>No data</v>
      </c>
      <c r="N50" s="28" t="str">
        <f t="shared" si="3"/>
        <v>No data</v>
      </c>
      <c r="O50" s="1" t="str">
        <f>VLOOKUP($A50,'EBA2017'!$A:$AE,30,FALSE)</f>
        <v>No data</v>
      </c>
      <c r="P50" s="28" t="str">
        <f t="shared" si="4"/>
        <v>No data</v>
      </c>
      <c r="Q50" s="28" t="str">
        <f t="shared" si="5"/>
        <v>No data</v>
      </c>
      <c r="R50" s="32">
        <f>VLOOKUP($A50,'EBA2017'!$A:$Z,24,FALSE)</f>
        <v>1</v>
      </c>
      <c r="S50" s="1">
        <f>VLOOKUP($A50,'EBA2017'!$A:$Z,25,FALSE)</f>
        <v>3</v>
      </c>
      <c r="T50" s="1">
        <f>VLOOKUP($A50,'EBA2017'!$A:$Z,26,FALSE)</f>
        <v>2.5</v>
      </c>
      <c r="U50" s="32">
        <f>IF(R50="No Data","No Data",R50/(5-IF(R50&lt;5,VLOOKUP($A50,'Data Gaps'!$A:$N,9,FALSE),0)))</f>
        <v>0.2</v>
      </c>
      <c r="V50" s="1">
        <f>IF(S50="No Data", "No Data",S50/(8-IF(S50&lt;8,VLOOKUP($A50,'Data Gaps'!$A:$N,10,FALSE),0)))</f>
        <v>0.375</v>
      </c>
      <c r="W50" s="1">
        <f>IF(T50="No Data","No Data",T50/(5-IF(T50&lt;5,VLOOKUP($A50,'Data Gaps'!$A:$N,11,FALSE),0)))</f>
        <v>0.5</v>
      </c>
      <c r="X50" s="40">
        <f t="shared" si="6"/>
        <v>26.875</v>
      </c>
    </row>
    <row r="51" spans="1:24" x14ac:dyDescent="0.35">
      <c r="A51" s="1" t="s">
        <v>92</v>
      </c>
      <c r="B51" s="28" t="s">
        <v>93</v>
      </c>
      <c r="C51" s="1" t="s">
        <v>32</v>
      </c>
      <c r="D51" s="1" t="s">
        <v>33</v>
      </c>
      <c r="E51" s="28" t="s">
        <v>9</v>
      </c>
      <c r="F51" s="28" t="s">
        <v>161</v>
      </c>
      <c r="G51" s="28" t="str">
        <f>VLOOKUP($A51,'EBA2017'!$A:$G,7,FALSE)</f>
        <v>Two</v>
      </c>
      <c r="H51" s="32" t="str">
        <f>VLOOKUP($A51,'EBA2017'!$A:$AE,27,FALSE)</f>
        <v>N/A</v>
      </c>
      <c r="I51" s="28">
        <f t="shared" si="0"/>
        <v>0</v>
      </c>
      <c r="J51" s="1" t="str">
        <f>VLOOKUP($A51,'EBA2017'!$A:$AE,28,FALSE)</f>
        <v>N/A</v>
      </c>
      <c r="K51" s="28">
        <f t="shared" si="1"/>
        <v>0</v>
      </c>
      <c r="L51" s="28">
        <f t="shared" si="2"/>
        <v>0</v>
      </c>
      <c r="M51" s="32" t="str">
        <f>VLOOKUP($A51,'EBA2017'!$A:$AE,29,FALSE)</f>
        <v>N/A</v>
      </c>
      <c r="N51" s="28">
        <f t="shared" si="3"/>
        <v>0</v>
      </c>
      <c r="O51" s="1" t="str">
        <f>VLOOKUP($A51,'EBA2017'!$A:$AE,30,FALSE)</f>
        <v>N/A</v>
      </c>
      <c r="P51" s="28">
        <f t="shared" si="4"/>
        <v>0</v>
      </c>
      <c r="Q51" s="28">
        <f t="shared" si="5"/>
        <v>0</v>
      </c>
      <c r="R51" s="32">
        <f>VLOOKUP($A51,'EBA2017'!$A:$Z,24,FALSE)</f>
        <v>0</v>
      </c>
      <c r="S51" s="1">
        <f>VLOOKUP($A51,'EBA2017'!$A:$Z,25,FALSE)</f>
        <v>0.33333333333333326</v>
      </c>
      <c r="T51" s="1">
        <f>VLOOKUP($A51,'EBA2017'!$A:$Z,26,FALSE)</f>
        <v>0.5</v>
      </c>
      <c r="U51" s="32">
        <f>IF(R51="No Data","No Data",R51/(5-IF(R51&lt;5,VLOOKUP($A51,'Data Gaps'!$A:$N,9,FALSE),0)))</f>
        <v>0</v>
      </c>
      <c r="V51" s="1">
        <f>IF(S51="No Data", "No Data",S51/(8-IF(S51&lt;8,VLOOKUP($A51,'Data Gaps'!$A:$N,10,FALSE),0)))</f>
        <v>4.1666666666666657E-2</v>
      </c>
      <c r="W51" s="1">
        <f>IF(T51="No Data","No Data",T51/(5-IF(T51&lt;5,VLOOKUP($A51,'Data Gaps'!$A:$N,11,FALSE),0)))</f>
        <v>0.1</v>
      </c>
      <c r="X51" s="40">
        <f t="shared" si="6"/>
        <v>2.833333333333333</v>
      </c>
    </row>
    <row r="52" spans="1:24" x14ac:dyDescent="0.35">
      <c r="A52" s="1" t="s">
        <v>90</v>
      </c>
      <c r="B52" s="28" t="s">
        <v>91</v>
      </c>
      <c r="C52" s="1" t="s">
        <v>16</v>
      </c>
      <c r="D52" s="1" t="s">
        <v>17</v>
      </c>
      <c r="E52" s="28" t="s">
        <v>18</v>
      </c>
      <c r="F52" s="28" t="s">
        <v>159</v>
      </c>
      <c r="G52" s="28" t="str">
        <f>VLOOKUP($A52,'EBA2017'!$A:$G,7,FALSE)</f>
        <v>Two</v>
      </c>
      <c r="H52" s="32" t="str">
        <f>VLOOKUP($A52,'EBA2017'!$A:$AE,27,FALSE)</f>
        <v>N/A</v>
      </c>
      <c r="I52" s="28">
        <f t="shared" si="0"/>
        <v>0</v>
      </c>
      <c r="J52" s="1" t="str">
        <f>VLOOKUP($A52,'EBA2017'!$A:$AE,28,FALSE)</f>
        <v>N/A</v>
      </c>
      <c r="K52" s="28">
        <f t="shared" si="1"/>
        <v>0</v>
      </c>
      <c r="L52" s="28">
        <f t="shared" si="2"/>
        <v>0</v>
      </c>
      <c r="M52" s="32">
        <f>VLOOKUP($A52,'EBA2017'!$A:$AE,29,FALSE)</f>
        <v>20</v>
      </c>
      <c r="N52" s="28">
        <f t="shared" si="3"/>
        <v>26.923076923076806</v>
      </c>
      <c r="O52" s="1">
        <f>VLOOKUP($A52,'EBA2017'!$A:$AE,30,FALSE)</f>
        <v>14.624280806810114</v>
      </c>
      <c r="P52" s="28">
        <f t="shared" si="4"/>
        <v>60.499736312704798</v>
      </c>
      <c r="Q52" s="28">
        <f t="shared" si="5"/>
        <v>0.43711406617890802</v>
      </c>
      <c r="R52" s="32">
        <f>VLOOKUP($A52,'EBA2017'!$A:$Z,24,FALSE)</f>
        <v>0.5</v>
      </c>
      <c r="S52" s="1">
        <f>VLOOKUP($A52,'EBA2017'!$A:$Z,25,FALSE)</f>
        <v>2.3333333333333335</v>
      </c>
      <c r="T52" s="1">
        <f>VLOOKUP($A52,'EBA2017'!$A:$Z,26,FALSE)</f>
        <v>4.5</v>
      </c>
      <c r="U52" s="32">
        <f>IF(R52="No Data","No Data",R52/(5-IF(R52&lt;5,VLOOKUP($A52,'Data Gaps'!$A:$N,9,FALSE),0)))</f>
        <v>0.1</v>
      </c>
      <c r="V52" s="1">
        <f>IF(S52="No Data", "No Data",S52/(8-IF(S52&lt;8,VLOOKUP($A52,'Data Gaps'!$A:$N,10,FALSE),0)))</f>
        <v>0.29166666666666669</v>
      </c>
      <c r="W52" s="1">
        <f>IF(T52="No Data","No Data",T52/(5-IF(T52&lt;5,VLOOKUP($A52,'Data Gaps'!$A:$N,11,FALSE),0)))</f>
        <v>0.9</v>
      </c>
      <c r="X52" s="40">
        <f t="shared" si="6"/>
        <v>34.575614656911497</v>
      </c>
    </row>
    <row r="53" spans="1:24" x14ac:dyDescent="0.35">
      <c r="A53" s="1" t="s">
        <v>80</v>
      </c>
      <c r="B53" s="28" t="s">
        <v>81</v>
      </c>
      <c r="C53" s="1" t="s">
        <v>16</v>
      </c>
      <c r="D53" s="1" t="s">
        <v>17</v>
      </c>
      <c r="E53" s="28" t="s">
        <v>18</v>
      </c>
      <c r="F53" s="28" t="s">
        <v>160</v>
      </c>
      <c r="G53" s="28" t="str">
        <f>VLOOKUP($A53,'EBA2017'!$A:$G,7,FALSE)</f>
        <v>Two</v>
      </c>
      <c r="H53" s="32">
        <f>VLOOKUP($A53,'EBA2017'!$A:$AE,27,FALSE)</f>
        <v>240</v>
      </c>
      <c r="I53" s="28">
        <f t="shared" si="0"/>
        <v>14.197418651154376</v>
      </c>
      <c r="J53" s="1">
        <f>VLOOKUP($A53,'EBA2017'!$A:$AE,28,FALSE)</f>
        <v>428.57142857142856</v>
      </c>
      <c r="K53" s="28">
        <f t="shared" si="1"/>
        <v>23.613293098976186</v>
      </c>
      <c r="L53" s="28">
        <f t="shared" si="2"/>
        <v>0.18905355875065283</v>
      </c>
      <c r="M53" s="32">
        <f>VLOOKUP($A53,'EBA2017'!$A:$AE,29,FALSE)</f>
        <v>15</v>
      </c>
      <c r="N53" s="28">
        <f t="shared" si="3"/>
        <v>46.153846153846068</v>
      </c>
      <c r="O53" s="1">
        <f>VLOOKUP($A53,'EBA2017'!$A:$AE,30,FALSE)</f>
        <v>8.2626929585283868</v>
      </c>
      <c r="P53" s="28">
        <f t="shared" si="4"/>
        <v>77.710995955782607</v>
      </c>
      <c r="Q53" s="28">
        <f t="shared" si="5"/>
        <v>0.61932421054814346</v>
      </c>
      <c r="R53" s="32">
        <f>VLOOKUP($A53,'EBA2017'!$A:$Z,24,FALSE)</f>
        <v>4</v>
      </c>
      <c r="S53" s="1">
        <f>VLOOKUP($A53,'EBA2017'!$A:$Z,25,FALSE)</f>
        <v>4.9999999999999991</v>
      </c>
      <c r="T53" s="1">
        <f>VLOOKUP($A53,'EBA2017'!$A:$Z,26,FALSE)</f>
        <v>3</v>
      </c>
      <c r="U53" s="32">
        <f>IF(R53="No Data","No Data",R53/(5-IF(R53&lt;5,VLOOKUP($A53,'Data Gaps'!$A:$N,9,FALSE),0)))</f>
        <v>0.8</v>
      </c>
      <c r="V53" s="1">
        <f>IF(S53="No Data", "No Data",S53/(8-IF(S53&lt;8,VLOOKUP($A53,'Data Gaps'!$A:$N,10,FALSE),0)))</f>
        <v>0.62499999999999989</v>
      </c>
      <c r="W53" s="1">
        <f>IF(T53="No Data","No Data",T53/(5-IF(T53&lt;5,VLOOKUP($A53,'Data Gaps'!$A:$N,11,FALSE),0)))</f>
        <v>0.6</v>
      </c>
      <c r="X53" s="40">
        <f t="shared" si="6"/>
        <v>56.667555385975923</v>
      </c>
    </row>
    <row r="54" spans="1:24" x14ac:dyDescent="0.35">
      <c r="A54" s="1" t="s">
        <v>82</v>
      </c>
      <c r="B54" s="28" t="s">
        <v>83</v>
      </c>
      <c r="C54" s="1" t="s">
        <v>32</v>
      </c>
      <c r="D54" s="1" t="s">
        <v>33</v>
      </c>
      <c r="E54" s="28" t="s">
        <v>25</v>
      </c>
      <c r="F54" s="28" t="s">
        <v>161</v>
      </c>
      <c r="G54" s="28" t="str">
        <f>VLOOKUP($A54,'EBA2017'!$A:$G,7,FALSE)</f>
        <v>Two</v>
      </c>
      <c r="H54" s="32" t="str">
        <f>VLOOKUP($A54,'EBA2017'!$A:$AE,27,FALSE)</f>
        <v>N/A</v>
      </c>
      <c r="I54" s="28">
        <f t="shared" si="0"/>
        <v>0</v>
      </c>
      <c r="J54" s="1" t="str">
        <f>VLOOKUP($A54,'EBA2017'!$A:$AE,28,FALSE)</f>
        <v>N/A</v>
      </c>
      <c r="K54" s="28">
        <f t="shared" si="1"/>
        <v>0</v>
      </c>
      <c r="L54" s="28">
        <f t="shared" si="2"/>
        <v>0</v>
      </c>
      <c r="M54" s="32">
        <f>VLOOKUP($A54,'EBA2017'!$A:$AE,29,FALSE)</f>
        <v>7</v>
      </c>
      <c r="N54" s="28">
        <f t="shared" si="3"/>
        <v>76.923076923076877</v>
      </c>
      <c r="O54" s="1">
        <f>VLOOKUP($A54,'EBA2017'!$A:$AE,30,FALSE)</f>
        <v>0.16184715517764942</v>
      </c>
      <c r="P54" s="28">
        <f t="shared" si="4"/>
        <v>99.627813545225479</v>
      </c>
      <c r="Q54" s="28">
        <f t="shared" si="5"/>
        <v>0.88275445234151173</v>
      </c>
      <c r="R54" s="32">
        <f>VLOOKUP($A54,'EBA2017'!$A:$Z,24,FALSE)</f>
        <v>4.5</v>
      </c>
      <c r="S54" s="1">
        <f>VLOOKUP($A54,'EBA2017'!$A:$Z,25,FALSE)</f>
        <v>2.6666666666666661</v>
      </c>
      <c r="T54" s="1">
        <f>VLOOKUP($A54,'EBA2017'!$A:$Z,26,FALSE)</f>
        <v>4.5</v>
      </c>
      <c r="U54" s="32">
        <f>IF(R54="No Data","No Data",R54/(5-IF(R54&lt;5,VLOOKUP($A54,'Data Gaps'!$A:$N,9,FALSE),0)))</f>
        <v>0.9</v>
      </c>
      <c r="V54" s="1">
        <f>IF(S54="No Data", "No Data",S54/(8-IF(S54&lt;8,VLOOKUP($A54,'Data Gaps'!$A:$N,10,FALSE),0)))</f>
        <v>0.33333333333333326</v>
      </c>
      <c r="W54" s="1">
        <f>IF(T54="No Data","No Data",T54/(5-IF(T54&lt;5,VLOOKUP($A54,'Data Gaps'!$A:$N,11,FALSE),0)))</f>
        <v>0.9</v>
      </c>
      <c r="X54" s="40">
        <f t="shared" si="6"/>
        <v>60.321755713496891</v>
      </c>
    </row>
    <row r="55" spans="1:24" x14ac:dyDescent="0.35">
      <c r="A55" s="1" t="s">
        <v>100</v>
      </c>
      <c r="B55" s="28" t="s">
        <v>101</v>
      </c>
      <c r="C55" s="1" t="s">
        <v>16</v>
      </c>
      <c r="D55" s="1" t="s">
        <v>17</v>
      </c>
      <c r="E55" s="28" t="s">
        <v>18</v>
      </c>
      <c r="F55" s="28" t="s">
        <v>161</v>
      </c>
      <c r="G55" s="28" t="str">
        <f>VLOOKUP($A55,'EBA2017'!$A:$G,7,FALSE)</f>
        <v>Two</v>
      </c>
      <c r="H55" s="32" t="str">
        <f>VLOOKUP($A55,'EBA2017'!$A:$AE,27,FALSE)</f>
        <v>N/A</v>
      </c>
      <c r="I55" s="28">
        <f t="shared" si="0"/>
        <v>0</v>
      </c>
      <c r="J55" s="1" t="str">
        <f>VLOOKUP($A55,'EBA2017'!$A:$AE,28,FALSE)</f>
        <v>N/A</v>
      </c>
      <c r="K55" s="28">
        <f t="shared" si="1"/>
        <v>0</v>
      </c>
      <c r="L55" s="28">
        <f t="shared" si="2"/>
        <v>0</v>
      </c>
      <c r="M55" s="32" t="str">
        <f>VLOOKUP($A55,'EBA2017'!$A:$AE,29,FALSE)</f>
        <v>N/A</v>
      </c>
      <c r="N55" s="28">
        <f t="shared" si="3"/>
        <v>0</v>
      </c>
      <c r="O55" s="1" t="str">
        <f>VLOOKUP($A55,'EBA2017'!$A:$AE,30,FALSE)</f>
        <v>N/A</v>
      </c>
      <c r="P55" s="28">
        <f t="shared" si="4"/>
        <v>0</v>
      </c>
      <c r="Q55" s="28">
        <f t="shared" si="5"/>
        <v>0</v>
      </c>
      <c r="R55" s="32">
        <f>VLOOKUP($A55,'EBA2017'!$A:$Z,24,FALSE)</f>
        <v>0</v>
      </c>
      <c r="S55" s="1">
        <f>VLOOKUP($A55,'EBA2017'!$A:$Z,25,FALSE)</f>
        <v>0.33333333333333326</v>
      </c>
      <c r="T55" s="1">
        <f>VLOOKUP($A55,'EBA2017'!$A:$Z,26,FALSE)</f>
        <v>5</v>
      </c>
      <c r="U55" s="32">
        <f>IF(R55="No Data","No Data",R55/(5-IF(R55&lt;5,VLOOKUP($A55,'Data Gaps'!$A:$N,9,FALSE),0)))</f>
        <v>0</v>
      </c>
      <c r="V55" s="1">
        <f>IF(S55="No Data", "No Data",S55/(8-IF(S55&lt;8,VLOOKUP($A55,'Data Gaps'!$A:$N,10,FALSE),0)))</f>
        <v>4.1666666666666657E-2</v>
      </c>
      <c r="W55" s="1">
        <f>IF(T55="No Data","No Data",T55/(5-IF(T55&lt;5,VLOOKUP($A55,'Data Gaps'!$A:$N,11,FALSE),0)))</f>
        <v>1</v>
      </c>
      <c r="X55" s="40">
        <f t="shared" si="6"/>
        <v>20.833333333333336</v>
      </c>
    </row>
    <row r="56" spans="1:24" x14ac:dyDescent="0.35">
      <c r="A56" s="1" t="s">
        <v>102</v>
      </c>
      <c r="B56" s="28" t="s">
        <v>103</v>
      </c>
      <c r="C56" s="1" t="s">
        <v>16</v>
      </c>
      <c r="D56" s="1" t="s">
        <v>17</v>
      </c>
      <c r="E56" s="29" t="s">
        <v>9</v>
      </c>
      <c r="F56" s="28" t="s">
        <v>160</v>
      </c>
      <c r="G56" s="28" t="str">
        <f>VLOOKUP($A56,'EBA2017'!$A:$G,7,FALSE)</f>
        <v>Two</v>
      </c>
      <c r="H56" s="32">
        <f>VLOOKUP($A56,'EBA2017'!$A:$AE,27,FALSE)</f>
        <v>105</v>
      </c>
      <c r="I56" s="28">
        <f t="shared" si="0"/>
        <v>63.279403744773703</v>
      </c>
      <c r="J56" s="1">
        <f>VLOOKUP($A56,'EBA2017'!$A:$AE,28,FALSE)</f>
        <v>98.963692570948908</v>
      </c>
      <c r="K56" s="28">
        <f t="shared" si="1"/>
        <v>82.424776808327124</v>
      </c>
      <c r="L56" s="28">
        <f t="shared" si="2"/>
        <v>0.72852090276550419</v>
      </c>
      <c r="M56" s="32">
        <f>VLOOKUP($A56,'EBA2017'!$A:$AE,29,FALSE)</f>
        <v>14</v>
      </c>
      <c r="N56" s="28">
        <f t="shared" si="3"/>
        <v>49.999999999999915</v>
      </c>
      <c r="O56" s="1">
        <f>VLOOKUP($A56,'EBA2017'!$A:$AE,30,FALSE)</f>
        <v>9.8963692570948911</v>
      </c>
      <c r="P56" s="28">
        <f t="shared" si="4"/>
        <v>73.29108891088265</v>
      </c>
      <c r="Q56" s="28">
        <f t="shared" si="5"/>
        <v>0.61645544455441281</v>
      </c>
      <c r="R56" s="32">
        <f>VLOOKUP($A56,'EBA2017'!$A:$Z,24,FALSE)</f>
        <v>0.5</v>
      </c>
      <c r="S56" s="1">
        <f>VLOOKUP($A56,'EBA2017'!$A:$Z,25,FALSE)</f>
        <v>5.6666666666666679</v>
      </c>
      <c r="T56" s="1">
        <f>VLOOKUP($A56,'EBA2017'!$A:$Z,26,FALSE)</f>
        <v>5</v>
      </c>
      <c r="U56" s="32">
        <f>IF(R56="No Data","No Data",R56/(5-IF(R56&lt;5,VLOOKUP($A56,'Data Gaps'!$A:$N,9,FALSE),0)))</f>
        <v>0.1</v>
      </c>
      <c r="V56" s="1">
        <f>IF(S56="No Data", "No Data",S56/(8-IF(S56&lt;8,VLOOKUP($A56,'Data Gaps'!$A:$N,10,FALSE),0)))</f>
        <v>0.70833333333333348</v>
      </c>
      <c r="W56" s="1">
        <f>IF(T56="No Data","No Data",T56/(5-IF(T56&lt;5,VLOOKUP($A56,'Data Gaps'!$A:$N,11,FALSE),0)))</f>
        <v>1</v>
      </c>
      <c r="X56" s="40">
        <f t="shared" si="6"/>
        <v>63.066193613065003</v>
      </c>
    </row>
    <row r="57" spans="1:24" x14ac:dyDescent="0.35">
      <c r="A57" s="1" t="s">
        <v>98</v>
      </c>
      <c r="B57" s="28" t="s">
        <v>99</v>
      </c>
      <c r="C57" s="1" t="s">
        <v>21</v>
      </c>
      <c r="D57" s="1" t="s">
        <v>22</v>
      </c>
      <c r="E57" s="28" t="s">
        <v>9</v>
      </c>
      <c r="F57" s="28" t="s">
        <v>160</v>
      </c>
      <c r="G57" s="28" t="str">
        <f>VLOOKUP($A57,'EBA2017'!$A:$G,7,FALSE)</f>
        <v>Two</v>
      </c>
      <c r="H57" s="32" t="str">
        <f>VLOOKUP($A57,'EBA2017'!$A:$AE,27,FALSE)</f>
        <v>N/A</v>
      </c>
      <c r="I57" s="28">
        <f t="shared" si="0"/>
        <v>0</v>
      </c>
      <c r="J57" s="1" t="str">
        <f>VLOOKUP($A57,'EBA2017'!$A:$AE,28,FALSE)</f>
        <v>N/A</v>
      </c>
      <c r="K57" s="28">
        <f t="shared" si="1"/>
        <v>0</v>
      </c>
      <c r="L57" s="28">
        <f t="shared" si="2"/>
        <v>0</v>
      </c>
      <c r="M57" s="32">
        <f>VLOOKUP($A57,'EBA2017'!$A:$AE,29,FALSE)</f>
        <v>10</v>
      </c>
      <c r="N57" s="28">
        <f t="shared" si="3"/>
        <v>65.38461538461533</v>
      </c>
      <c r="O57" s="1">
        <f>VLOOKUP($A57,'EBA2017'!$A:$AE,30,FALSE)</f>
        <v>5.6102788110494979</v>
      </c>
      <c r="P57" s="28">
        <f t="shared" si="4"/>
        <v>84.887095643781507</v>
      </c>
      <c r="Q57" s="28">
        <f t="shared" si="5"/>
        <v>0.75135855514198424</v>
      </c>
      <c r="R57" s="32">
        <f>VLOOKUP($A57,'EBA2017'!$A:$Z,24,FALSE)</f>
        <v>1</v>
      </c>
      <c r="S57" s="1">
        <f>VLOOKUP($A57,'EBA2017'!$A:$Z,25,FALSE)</f>
        <v>0</v>
      </c>
      <c r="T57" s="1">
        <f>VLOOKUP($A57,'EBA2017'!$A:$Z,26,FALSE)</f>
        <v>3.5</v>
      </c>
      <c r="U57" s="32">
        <f>IF(R57="No Data","No Data",R57/(5-IF(R57&lt;5,VLOOKUP($A57,'Data Gaps'!$A:$N,9,FALSE),0)))</f>
        <v>0.2</v>
      </c>
      <c r="V57" s="1">
        <f>IF(S57="No Data", "No Data",S57/(8-IF(S57&lt;8,VLOOKUP($A57,'Data Gaps'!$A:$N,10,FALSE),0)))</f>
        <v>0</v>
      </c>
      <c r="W57" s="1">
        <f>IF(T57="No Data","No Data",T57/(5-IF(T57&lt;5,VLOOKUP($A57,'Data Gaps'!$A:$N,11,FALSE),0)))</f>
        <v>0.7</v>
      </c>
      <c r="X57" s="40">
        <f t="shared" si="6"/>
        <v>33.027171102839688</v>
      </c>
    </row>
    <row r="58" spans="1:24" x14ac:dyDescent="0.35">
      <c r="A58" s="1" t="s">
        <v>106</v>
      </c>
      <c r="B58" s="28" t="s">
        <v>107</v>
      </c>
      <c r="C58" s="1" t="s">
        <v>32</v>
      </c>
      <c r="D58" s="1" t="s">
        <v>33</v>
      </c>
      <c r="E58" s="29" t="s">
        <v>9</v>
      </c>
      <c r="F58" s="28" t="s">
        <v>159</v>
      </c>
      <c r="G58" s="28" t="str">
        <f>VLOOKUP($A58,'EBA2017'!$A:$G,7,FALSE)</f>
        <v>Two</v>
      </c>
      <c r="H58" s="32">
        <f>VLOOKUP($A58,'EBA2017'!$A:$AE,27,FALSE)</f>
        <v>30</v>
      </c>
      <c r="I58" s="28">
        <f t="shared" si="0"/>
        <v>90.547173241228876</v>
      </c>
      <c r="J58" s="1">
        <f>VLOOKUP($A58,'EBA2017'!$A:$AE,28,FALSE)</f>
        <v>12.555584103351118</v>
      </c>
      <c r="K58" s="28">
        <f t="shared" si="1"/>
        <v>97.842464284844866</v>
      </c>
      <c r="L58" s="28">
        <f t="shared" si="2"/>
        <v>0.94194818763036858</v>
      </c>
      <c r="M58" s="32">
        <f>VLOOKUP($A58,'EBA2017'!$A:$AE,29,FALSE)</f>
        <v>10.5</v>
      </c>
      <c r="N58" s="28">
        <f t="shared" si="3"/>
        <v>63.461538461538403</v>
      </c>
      <c r="O58" s="1">
        <f>VLOOKUP($A58,'EBA2017'!$A:$AE,30,FALSE)</f>
        <v>3.0133401848042678E-2</v>
      </c>
      <c r="P58" s="28">
        <f t="shared" si="4"/>
        <v>99.984164767779532</v>
      </c>
      <c r="Q58" s="28">
        <f t="shared" si="5"/>
        <v>0.81722851614658965</v>
      </c>
      <c r="R58" s="32">
        <f>VLOOKUP($A58,'EBA2017'!$A:$Z,24,FALSE)</f>
        <v>2</v>
      </c>
      <c r="S58" s="1">
        <f>VLOOKUP($A58,'EBA2017'!$A:$Z,25,FALSE)</f>
        <v>5.1666666666666661</v>
      </c>
      <c r="T58" s="1">
        <f>VLOOKUP($A58,'EBA2017'!$A:$Z,26,FALSE)</f>
        <v>3</v>
      </c>
      <c r="U58" s="32">
        <f>IF(R58="No Data","No Data",R58/(5-IF(R58&lt;5,VLOOKUP($A58,'Data Gaps'!$A:$N,9,FALSE),0)))</f>
        <v>0.4</v>
      </c>
      <c r="V58" s="1">
        <f>IF(S58="No Data", "No Data",S58/(8-IF(S58&lt;8,VLOOKUP($A58,'Data Gaps'!$A:$N,10,FALSE),0)))</f>
        <v>0.64583333333333326</v>
      </c>
      <c r="W58" s="1">
        <f>IF(T58="No Data","No Data",T58/(5-IF(T58&lt;5,VLOOKUP($A58,'Data Gaps'!$A:$N,11,FALSE),0)))</f>
        <v>0.6</v>
      </c>
      <c r="X58" s="40">
        <f t="shared" si="6"/>
        <v>68.100200742205814</v>
      </c>
    </row>
    <row r="59" spans="1:24" x14ac:dyDescent="0.35">
      <c r="A59" s="1" t="s">
        <v>124</v>
      </c>
      <c r="B59" s="28" t="s">
        <v>125</v>
      </c>
      <c r="C59" s="1" t="s">
        <v>16</v>
      </c>
      <c r="D59" s="1" t="s">
        <v>17</v>
      </c>
      <c r="E59" s="29" t="s">
        <v>9</v>
      </c>
      <c r="F59" s="28" t="s">
        <v>160</v>
      </c>
      <c r="G59" s="28" t="str">
        <f>VLOOKUP($A59,'EBA2017'!$A:$G,7,FALSE)</f>
        <v>Two</v>
      </c>
      <c r="H59" s="32">
        <f>VLOOKUP($A59,'EBA2017'!$A:$AE,27,FALSE)</f>
        <v>45</v>
      </c>
      <c r="I59" s="28">
        <f t="shared" si="0"/>
        <v>85.093619341937838</v>
      </c>
      <c r="J59" s="1">
        <f>VLOOKUP($A59,'EBA2017'!$A:$AE,28,FALSE)</f>
        <v>146.61390972974104</v>
      </c>
      <c r="K59" s="28">
        <f t="shared" si="1"/>
        <v>73.922609947239678</v>
      </c>
      <c r="L59" s="28">
        <f t="shared" si="2"/>
        <v>0.79508114644588757</v>
      </c>
      <c r="M59" s="32">
        <f>VLOOKUP($A59,'EBA2017'!$A:$AE,29,FALSE)</f>
        <v>7</v>
      </c>
      <c r="N59" s="28">
        <f t="shared" si="3"/>
        <v>76.923076923076877</v>
      </c>
      <c r="O59" s="1">
        <f>VLOOKUP($A59,'EBA2017'!$A:$AE,30,FALSE)</f>
        <v>29.811494978380676</v>
      </c>
      <c r="P59" s="28">
        <f t="shared" si="4"/>
        <v>19.410767238335403</v>
      </c>
      <c r="Q59" s="28">
        <f t="shared" si="5"/>
        <v>0.48166922080706143</v>
      </c>
      <c r="R59" s="32">
        <f>VLOOKUP($A59,'EBA2017'!$A:$Z,24,FALSE)</f>
        <v>2.5</v>
      </c>
      <c r="S59" s="1">
        <f>VLOOKUP($A59,'EBA2017'!$A:$Z,25,FALSE)</f>
        <v>5.3333333333333321</v>
      </c>
      <c r="T59" s="1">
        <f>VLOOKUP($A59,'EBA2017'!$A:$Z,26,FALSE)</f>
        <v>1.5</v>
      </c>
      <c r="U59" s="32">
        <f>IF(R59="No Data","No Data",R59/(5-IF(R59&lt;5,VLOOKUP($A59,'Data Gaps'!$A:$N,9,FALSE),0)))</f>
        <v>0.5</v>
      </c>
      <c r="V59" s="1">
        <f>IF(S59="No Data", "No Data",S59/(8-IF(S59&lt;8,VLOOKUP($A59,'Data Gaps'!$A:$N,10,FALSE),0)))</f>
        <v>0.66666666666666652</v>
      </c>
      <c r="W59" s="1">
        <f>IF(T59="No Data","No Data",T59/(5-IF(T59&lt;5,VLOOKUP($A59,'Data Gaps'!$A:$N,11,FALSE),0)))</f>
        <v>0.3</v>
      </c>
      <c r="X59" s="40">
        <f t="shared" si="6"/>
        <v>54.868340678392315</v>
      </c>
    </row>
    <row r="60" spans="1:24" x14ac:dyDescent="0.35">
      <c r="A60" s="1" t="s">
        <v>130</v>
      </c>
      <c r="B60" s="28" t="s">
        <v>131</v>
      </c>
      <c r="C60" s="1" t="s">
        <v>32</v>
      </c>
      <c r="D60" s="1" t="s">
        <v>33</v>
      </c>
      <c r="E60" s="29" t="s">
        <v>25</v>
      </c>
      <c r="F60" s="28" t="s">
        <v>161</v>
      </c>
      <c r="G60" s="28" t="str">
        <f>VLOOKUP($A60,'EBA2017'!$A:$G,7,FALSE)</f>
        <v>Two</v>
      </c>
      <c r="H60" s="32" t="str">
        <f>VLOOKUP($A60,'EBA2017'!$A:$AE,27,FALSE)</f>
        <v>N/A</v>
      </c>
      <c r="I60" s="28">
        <f t="shared" si="0"/>
        <v>0</v>
      </c>
      <c r="J60" s="1" t="str">
        <f>VLOOKUP($A60,'EBA2017'!$A:$AE,28,FALSE)</f>
        <v>N/A</v>
      </c>
      <c r="K60" s="28">
        <f t="shared" si="1"/>
        <v>0</v>
      </c>
      <c r="L60" s="28">
        <f t="shared" si="2"/>
        <v>0</v>
      </c>
      <c r="M60" s="32">
        <f>VLOOKUP($A60,'EBA2017'!$A:$AE,29,FALSE)</f>
        <v>1</v>
      </c>
      <c r="N60" s="28">
        <f t="shared" si="3"/>
        <v>100</v>
      </c>
      <c r="O60" s="1">
        <f>VLOOKUP($A60,'EBA2017'!$A:$AE,30,FALSE)</f>
        <v>0.23118329689713996</v>
      </c>
      <c r="P60" s="28">
        <f t="shared" si="4"/>
        <v>99.440224791247047</v>
      </c>
      <c r="Q60" s="28">
        <f t="shared" si="5"/>
        <v>0.99720112395623517</v>
      </c>
      <c r="R60" s="32">
        <f>VLOOKUP($A60,'EBA2017'!$A:$Z,24,FALSE)</f>
        <v>3</v>
      </c>
      <c r="S60" s="1">
        <f>VLOOKUP($A60,'EBA2017'!$A:$Z,25,FALSE)</f>
        <v>1.833333333333333</v>
      </c>
      <c r="T60" s="1">
        <f>VLOOKUP($A60,'EBA2017'!$A:$Z,26,FALSE)</f>
        <v>5</v>
      </c>
      <c r="U60" s="32">
        <f>IF(R60="No Data","No Data",R60/(5-IF(R60&lt;5,VLOOKUP($A60,'Data Gaps'!$A:$N,9,FALSE),0)))</f>
        <v>0.6</v>
      </c>
      <c r="V60" s="1">
        <f>IF(S60="No Data", "No Data",S60/(8-IF(S60&lt;8,VLOOKUP($A60,'Data Gaps'!$A:$N,10,FALSE),0)))</f>
        <v>0.22916666666666663</v>
      </c>
      <c r="W60" s="1">
        <f>IF(T60="No Data","No Data",T60/(5-IF(T60&lt;5,VLOOKUP($A60,'Data Gaps'!$A:$N,11,FALSE),0)))</f>
        <v>1</v>
      </c>
      <c r="X60" s="40">
        <f t="shared" si="6"/>
        <v>56.527355812458033</v>
      </c>
    </row>
    <row r="61" spans="1:24" x14ac:dyDescent="0.35">
      <c r="A61" s="1" t="s">
        <v>128</v>
      </c>
      <c r="B61" s="28" t="s">
        <v>129</v>
      </c>
      <c r="C61" s="1" t="s">
        <v>16</v>
      </c>
      <c r="D61" s="1" t="s">
        <v>17</v>
      </c>
      <c r="E61" s="29" t="s">
        <v>18</v>
      </c>
      <c r="F61" s="28" t="s">
        <v>159</v>
      </c>
      <c r="G61" s="28" t="str">
        <f>VLOOKUP($A61,'EBA2017'!$A:$G,7,FALSE)</f>
        <v>Two</v>
      </c>
      <c r="H61" s="32" t="str">
        <f>VLOOKUP($A61,'EBA2017'!$A:$AE,27,FALSE)</f>
        <v>N/A</v>
      </c>
      <c r="I61" s="28">
        <f t="shared" si="0"/>
        <v>0</v>
      </c>
      <c r="J61" s="1" t="str">
        <f>VLOOKUP($A61,'EBA2017'!$A:$AE,28,FALSE)</f>
        <v>N/A</v>
      </c>
      <c r="K61" s="28">
        <f t="shared" si="1"/>
        <v>0</v>
      </c>
      <c r="L61" s="28">
        <f t="shared" si="2"/>
        <v>0</v>
      </c>
      <c r="M61" s="32">
        <f>VLOOKUP($A61,'EBA2017'!$A:$AE,29,FALSE)</f>
        <v>3</v>
      </c>
      <c r="N61" s="28">
        <f t="shared" si="3"/>
        <v>92.307692307692292</v>
      </c>
      <c r="O61" s="1">
        <f>VLOOKUP($A61,'EBA2017'!$A:$AE,30,FALSE)</f>
        <v>20.716422168595752</v>
      </c>
      <c r="P61" s="28">
        <f t="shared" si="4"/>
        <v>44.017463449280079</v>
      </c>
      <c r="Q61" s="28">
        <f t="shared" si="5"/>
        <v>0.68162577878486186</v>
      </c>
      <c r="R61" s="32">
        <f>VLOOKUP($A61,'EBA2017'!$A:$Z,24,FALSE)</f>
        <v>0.5</v>
      </c>
      <c r="S61" s="1">
        <f>VLOOKUP($A61,'EBA2017'!$A:$Z,25,FALSE)</f>
        <v>3.5</v>
      </c>
      <c r="T61" s="1">
        <f>VLOOKUP($A61,'EBA2017'!$A:$Z,26,FALSE)</f>
        <v>5</v>
      </c>
      <c r="U61" s="32">
        <f>IF(R61="No Data","No Data",R61/(5-IF(R61&lt;5,VLOOKUP($A61,'Data Gaps'!$A:$N,9,FALSE),0)))</f>
        <v>0.1</v>
      </c>
      <c r="V61" s="1">
        <f>IF(S61="No Data", "No Data",S61/(8-IF(S61&lt;8,VLOOKUP($A61,'Data Gaps'!$A:$N,10,FALSE),0)))</f>
        <v>0.4375</v>
      </c>
      <c r="W61" s="1">
        <f>IF(T61="No Data","No Data",T61/(5-IF(T61&lt;5,VLOOKUP($A61,'Data Gaps'!$A:$N,11,FALSE),0)))</f>
        <v>1</v>
      </c>
      <c r="X61" s="40">
        <f t="shared" si="6"/>
        <v>44.382515575697241</v>
      </c>
    </row>
    <row r="62" spans="1:24" x14ac:dyDescent="0.35">
      <c r="A62" s="1" t="s">
        <v>134</v>
      </c>
      <c r="B62" s="28" t="s">
        <v>135</v>
      </c>
      <c r="C62" s="1" t="s">
        <v>16</v>
      </c>
      <c r="D62" s="1" t="s">
        <v>17</v>
      </c>
      <c r="E62" s="28" t="s">
        <v>18</v>
      </c>
      <c r="F62" s="28" t="s">
        <v>160</v>
      </c>
      <c r="G62" s="28" t="str">
        <f>VLOOKUP($A62,'EBA2017'!$A:$G,7,FALSE)</f>
        <v>Two</v>
      </c>
      <c r="H62" s="32" t="str">
        <f>VLOOKUP($A62,'EBA2017'!$A:$AE,27,FALSE)</f>
        <v>No practice</v>
      </c>
      <c r="I62" s="28">
        <f t="shared" si="0"/>
        <v>0</v>
      </c>
      <c r="J62" s="1" t="str">
        <f>VLOOKUP($A62,'EBA2017'!$A:$AE,28,FALSE)</f>
        <v>No practice</v>
      </c>
      <c r="K62" s="28">
        <f t="shared" si="1"/>
        <v>0</v>
      </c>
      <c r="L62" s="28">
        <f t="shared" si="2"/>
        <v>0</v>
      </c>
      <c r="M62" s="32">
        <f>VLOOKUP($A62,'EBA2017'!$A:$AE,29,FALSE)</f>
        <v>8.5</v>
      </c>
      <c r="N62" s="28">
        <f t="shared" si="3"/>
        <v>71.153846153846118</v>
      </c>
      <c r="O62" s="1">
        <f>VLOOKUP($A62,'EBA2017'!$A:$AE,30,FALSE)</f>
        <v>16.308457375695205</v>
      </c>
      <c r="P62" s="28">
        <f t="shared" si="4"/>
        <v>55.943200915697169</v>
      </c>
      <c r="Q62" s="28">
        <f t="shared" si="5"/>
        <v>0.6354852353477165</v>
      </c>
      <c r="R62" s="32">
        <f>VLOOKUP($A62,'EBA2017'!$A:$Z,24,FALSE)</f>
        <v>2</v>
      </c>
      <c r="S62" s="1">
        <f>VLOOKUP($A62,'EBA2017'!$A:$Z,25,FALSE)</f>
        <v>5</v>
      </c>
      <c r="T62" s="1">
        <f>VLOOKUP($A62,'EBA2017'!$A:$Z,26,FALSE)</f>
        <v>5</v>
      </c>
      <c r="U62" s="32">
        <f>IF(R62="No Data","No Data",R62/(5-IF(R62&lt;5,VLOOKUP($A62,'Data Gaps'!$A:$N,9,FALSE),0)))</f>
        <v>0.4</v>
      </c>
      <c r="V62" s="1">
        <f>IF(S62="No Data", "No Data",S62/(8-IF(S62&lt;8,VLOOKUP($A62,'Data Gaps'!$A:$N,10,FALSE),0)))</f>
        <v>0.625</v>
      </c>
      <c r="W62" s="1">
        <f>IF(T62="No Data","No Data",T62/(5-IF(T62&lt;5,VLOOKUP($A62,'Data Gaps'!$A:$N,11,FALSE),0)))</f>
        <v>1</v>
      </c>
      <c r="X62" s="40">
        <f t="shared" si="6"/>
        <v>53.209704706954334</v>
      </c>
    </row>
    <row r="63" spans="1:24" x14ac:dyDescent="0.35">
      <c r="A63" s="1" t="s">
        <v>138</v>
      </c>
      <c r="B63" s="28" t="s">
        <v>139</v>
      </c>
      <c r="C63" s="1" t="s">
        <v>21</v>
      </c>
      <c r="D63" s="1" t="s">
        <v>22</v>
      </c>
      <c r="E63" s="28" t="s">
        <v>40</v>
      </c>
      <c r="F63" s="28" t="s">
        <v>160</v>
      </c>
      <c r="G63" s="28" t="str">
        <f>VLOOKUP($A63,'EBA2017'!$A:$G,7,FALSE)</f>
        <v>Two</v>
      </c>
      <c r="H63" s="32" t="str">
        <f>VLOOKUP($A63,'EBA2017'!$A:$AE,27,FALSE)</f>
        <v>N/A</v>
      </c>
      <c r="I63" s="28">
        <f t="shared" si="0"/>
        <v>0</v>
      </c>
      <c r="J63" s="1" t="str">
        <f>VLOOKUP($A63,'EBA2017'!$A:$AE,28,FALSE)</f>
        <v>N/A</v>
      </c>
      <c r="K63" s="28">
        <f t="shared" si="1"/>
        <v>0</v>
      </c>
      <c r="L63" s="28">
        <f t="shared" si="2"/>
        <v>0</v>
      </c>
      <c r="M63" s="32" t="str">
        <f>VLOOKUP($A63,'EBA2017'!$A:$AE,29,FALSE)</f>
        <v>N/A</v>
      </c>
      <c r="N63" s="28">
        <f t="shared" si="3"/>
        <v>0</v>
      </c>
      <c r="O63" s="1" t="str">
        <f>VLOOKUP($A63,'EBA2017'!$A:$AE,30,FALSE)</f>
        <v>N/A</v>
      </c>
      <c r="P63" s="28">
        <f t="shared" si="4"/>
        <v>0</v>
      </c>
      <c r="Q63" s="28">
        <f t="shared" si="5"/>
        <v>0</v>
      </c>
      <c r="R63" s="32">
        <f>VLOOKUP($A63,'EBA2017'!$A:$Z,24,FALSE)</f>
        <v>0</v>
      </c>
      <c r="S63" s="1">
        <f>VLOOKUP($A63,'EBA2017'!$A:$Z,25,FALSE)</f>
        <v>0</v>
      </c>
      <c r="T63" s="1">
        <f>VLOOKUP($A63,'EBA2017'!$A:$Z,26,FALSE)</f>
        <v>5</v>
      </c>
      <c r="U63" s="32">
        <f>IF(R63="No Data","No Data",R63/(5-IF(R63&lt;5,VLOOKUP($A63,'Data Gaps'!$A:$N,9,FALSE),0)))</f>
        <v>0</v>
      </c>
      <c r="V63" s="1">
        <f>IF(S63="No Data", "No Data",S63/(8-IF(S63&lt;8,VLOOKUP($A63,'Data Gaps'!$A:$N,10,FALSE),0)))</f>
        <v>0</v>
      </c>
      <c r="W63" s="1">
        <f>IF(T63="No Data","No Data",T63/(5-IF(T63&lt;5,VLOOKUP($A63,'Data Gaps'!$A:$N,11,FALSE),0)))</f>
        <v>1</v>
      </c>
      <c r="X63" s="40">
        <f t="shared" si="6"/>
        <v>20</v>
      </c>
    </row>
    <row r="64" spans="1:24" x14ac:dyDescent="0.35">
      <c r="A64" s="1" t="s">
        <v>140</v>
      </c>
      <c r="B64" s="28" t="s">
        <v>141</v>
      </c>
      <c r="C64" s="1" t="s">
        <v>32</v>
      </c>
      <c r="D64" s="1" t="s">
        <v>33</v>
      </c>
      <c r="E64" s="28" t="s">
        <v>9</v>
      </c>
      <c r="F64" s="28" t="s">
        <v>162</v>
      </c>
      <c r="G64" s="28" t="str">
        <f>VLOOKUP($A64,'EBA2017'!$A:$G,7,FALSE)</f>
        <v>Two</v>
      </c>
      <c r="H64" s="32">
        <f>VLOOKUP($A64,'EBA2017'!$A:$AE,27,FALSE)</f>
        <v>11</v>
      </c>
      <c r="I64" s="28">
        <f t="shared" si="0"/>
        <v>97.45500818033085</v>
      </c>
      <c r="J64" s="1">
        <f>VLOOKUP($A64,'EBA2017'!$A:$AE,28,FALSE)</f>
        <v>0.46372010741874092</v>
      </c>
      <c r="K64" s="28">
        <f t="shared" si="1"/>
        <v>100</v>
      </c>
      <c r="L64" s="28">
        <f t="shared" si="2"/>
        <v>0.9872750409016543</v>
      </c>
      <c r="M64" s="32">
        <f>VLOOKUP($A64,'EBA2017'!$A:$AE,29,FALSE)</f>
        <v>10</v>
      </c>
      <c r="N64" s="28">
        <f t="shared" si="3"/>
        <v>65.38461538461533</v>
      </c>
      <c r="O64" s="1">
        <f>VLOOKUP($A64,'EBA2017'!$A:$AE,30,FALSE)</f>
        <v>3.4779008056405569</v>
      </c>
      <c r="P64" s="28">
        <f t="shared" si="4"/>
        <v>90.656238880276248</v>
      </c>
      <c r="Q64" s="28">
        <f t="shared" si="5"/>
        <v>0.78020427132445791</v>
      </c>
      <c r="R64" s="32">
        <f>VLOOKUP($A64,'EBA2017'!$A:$Z,24,FALSE)</f>
        <v>2</v>
      </c>
      <c r="S64" s="1">
        <f>VLOOKUP($A64,'EBA2017'!$A:$Z,25,FALSE)</f>
        <v>4.333333333333333</v>
      </c>
      <c r="T64" s="1">
        <f>VLOOKUP($A64,'EBA2017'!$A:$Z,26,FALSE)</f>
        <v>5</v>
      </c>
      <c r="U64" s="32">
        <f>IF(R64="No Data","No Data",R64/(5-IF(R64&lt;5,VLOOKUP($A64,'Data Gaps'!$A:$N,9,FALSE),0)))</f>
        <v>0.4</v>
      </c>
      <c r="V64" s="1">
        <f>IF(S64="No Data", "No Data",S64/(8-IF(S64&lt;8,VLOOKUP($A64,'Data Gaps'!$A:$N,10,FALSE),0)))</f>
        <v>0.54166666666666663</v>
      </c>
      <c r="W64" s="1">
        <f>IF(T64="No Data","No Data",T64/(5-IF(T64&lt;5,VLOOKUP($A64,'Data Gaps'!$A:$N,11,FALSE),0)))</f>
        <v>1</v>
      </c>
      <c r="X64" s="40">
        <f t="shared" si="6"/>
        <v>74.182919577855571</v>
      </c>
    </row>
    <row r="65" spans="1:24" x14ac:dyDescent="0.35">
      <c r="A65" s="1" t="s">
        <v>142</v>
      </c>
      <c r="B65" s="28" t="s">
        <v>143</v>
      </c>
      <c r="C65" s="1" t="s">
        <v>16</v>
      </c>
      <c r="D65" s="1" t="s">
        <v>17</v>
      </c>
      <c r="E65" s="28" t="s">
        <v>9</v>
      </c>
      <c r="F65" s="28" t="s">
        <v>162</v>
      </c>
      <c r="G65" s="28" t="str">
        <f>VLOOKUP($A65,'EBA2017'!$A:$G,7,FALSE)</f>
        <v>Two</v>
      </c>
      <c r="H65" s="32" t="str">
        <f>VLOOKUP($A65,'EBA2017'!$A:$AE,27,FALSE)</f>
        <v>N/A</v>
      </c>
      <c r="I65" s="28">
        <f t="shared" si="0"/>
        <v>0</v>
      </c>
      <c r="J65" s="1" t="str">
        <f>VLOOKUP($A65,'EBA2017'!$A:$AE,28,FALSE)</f>
        <v>N/A</v>
      </c>
      <c r="K65" s="28">
        <f t="shared" si="1"/>
        <v>0</v>
      </c>
      <c r="L65" s="28">
        <f t="shared" si="2"/>
        <v>0</v>
      </c>
      <c r="M65" s="32">
        <f>VLOOKUP($A65,'EBA2017'!$A:$AE,29,FALSE)</f>
        <v>16</v>
      </c>
      <c r="N65" s="28">
        <f t="shared" si="3"/>
        <v>42.307692307692214</v>
      </c>
      <c r="O65" s="1">
        <f>VLOOKUP($A65,'EBA2017'!$A:$AE,30,FALSE)</f>
        <v>7.6096591854960982</v>
      </c>
      <c r="P65" s="28">
        <f t="shared" si="4"/>
        <v>79.477777157490493</v>
      </c>
      <c r="Q65" s="28">
        <f t="shared" si="5"/>
        <v>0.60892734732591347</v>
      </c>
      <c r="R65" s="32">
        <f>VLOOKUP($A65,'EBA2017'!$A:$Z,24,FALSE)</f>
        <v>0.5</v>
      </c>
      <c r="S65" s="1">
        <f>VLOOKUP($A65,'EBA2017'!$A:$Z,25,FALSE)</f>
        <v>0.33333333333333326</v>
      </c>
      <c r="T65" s="1">
        <f>VLOOKUP($A65,'EBA2017'!$A:$Z,26,FALSE)</f>
        <v>5</v>
      </c>
      <c r="U65" s="32">
        <f>IF(R65="No Data","No Data",R65/(5-IF(R65&lt;5,VLOOKUP($A65,'Data Gaps'!$A:$N,9,FALSE),0)))</f>
        <v>0.1</v>
      </c>
      <c r="V65" s="1">
        <f>IF(S65="No Data", "No Data",S65/(8-IF(S65&lt;8,VLOOKUP($A65,'Data Gaps'!$A:$N,10,FALSE),0)))</f>
        <v>4.1666666666666657E-2</v>
      </c>
      <c r="W65" s="1">
        <f>IF(T65="No Data","No Data",T65/(5-IF(T65&lt;5,VLOOKUP($A65,'Data Gaps'!$A:$N,11,FALSE),0)))</f>
        <v>1</v>
      </c>
      <c r="X65" s="40">
        <f t="shared" si="6"/>
        <v>35.011880279851596</v>
      </c>
    </row>
    <row r="66" spans="1:24" x14ac:dyDescent="0.35">
      <c r="A66" s="1" t="s">
        <v>144</v>
      </c>
      <c r="B66" s="28" t="s">
        <v>145</v>
      </c>
      <c r="C66" s="1" t="s">
        <v>16</v>
      </c>
      <c r="D66" s="1" t="s">
        <v>17</v>
      </c>
      <c r="E66" s="28" t="s">
        <v>18</v>
      </c>
      <c r="F66" s="28" t="s">
        <v>160</v>
      </c>
      <c r="G66" s="28" t="str">
        <f>VLOOKUP($A66,'EBA2017'!$A:$G,7,FALSE)</f>
        <v>Two</v>
      </c>
      <c r="H66" s="32" t="str">
        <f>VLOOKUP($A66,'EBA2017'!$A:$AE,27,FALSE)</f>
        <v>N/A</v>
      </c>
      <c r="I66" s="28">
        <f t="shared" si="0"/>
        <v>0</v>
      </c>
      <c r="J66" s="1" t="str">
        <f>VLOOKUP($A66,'EBA2017'!$A:$AE,28,FALSE)</f>
        <v>N/A</v>
      </c>
      <c r="K66" s="28">
        <f t="shared" si="1"/>
        <v>0</v>
      </c>
      <c r="L66" s="28">
        <f t="shared" si="2"/>
        <v>0</v>
      </c>
      <c r="M66" s="32">
        <f>VLOOKUP($A66,'EBA2017'!$A:$AE,29,FALSE)</f>
        <v>3</v>
      </c>
      <c r="N66" s="28">
        <f t="shared" si="3"/>
        <v>92.307692307692292</v>
      </c>
      <c r="O66" s="1">
        <f>VLOOKUP($A66,'EBA2017'!$A:$AE,30,FALSE)</f>
        <v>18.823529411764707</v>
      </c>
      <c r="P66" s="28">
        <f t="shared" si="4"/>
        <v>49.138679958633183</v>
      </c>
      <c r="Q66" s="28">
        <f t="shared" si="5"/>
        <v>0.70723186133162741</v>
      </c>
      <c r="R66" s="32">
        <f>VLOOKUP($A66,'EBA2017'!$A:$Z,24,FALSE)</f>
        <v>4.5</v>
      </c>
      <c r="S66" s="1">
        <f>VLOOKUP($A66,'EBA2017'!$A:$Z,25,FALSE)</f>
        <v>4.6666666666666661</v>
      </c>
      <c r="T66" s="1">
        <f>VLOOKUP($A66,'EBA2017'!$A:$Z,26,FALSE)</f>
        <v>4</v>
      </c>
      <c r="U66" s="32">
        <f>IF(R66="No Data","No Data",R66/(5-IF(R66&lt;5,VLOOKUP($A66,'Data Gaps'!$A:$N,9,FALSE),0)))</f>
        <v>0.9</v>
      </c>
      <c r="V66" s="1">
        <f>IF(S66="No Data", "No Data",S66/(8-IF(S66&lt;8,VLOOKUP($A66,'Data Gaps'!$A:$N,10,FALSE),0)))</f>
        <v>0.58333333333333326</v>
      </c>
      <c r="W66" s="1">
        <f>IF(T66="No Data","No Data",T66/(5-IF(T66&lt;5,VLOOKUP($A66,'Data Gaps'!$A:$N,11,FALSE),0)))</f>
        <v>0.8</v>
      </c>
      <c r="X66" s="40">
        <f t="shared" si="6"/>
        <v>59.811303893299218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Description</vt:lpstr>
      <vt:lpstr>Calculator</vt:lpstr>
      <vt:lpstr>EBA2017</vt:lpstr>
      <vt:lpstr>Data Gaps</vt:lpstr>
      <vt:lpstr>Seed Base</vt:lpstr>
      <vt:lpstr>Seed Base Calc</vt:lpstr>
      <vt:lpstr>Fert Base</vt:lpstr>
      <vt:lpstr>Fert Base Calc</vt:lpstr>
      <vt:lpstr>Mech Base</vt:lpstr>
      <vt:lpstr>Mech Base Calc</vt:lpstr>
      <vt:lpstr>Mark Base</vt:lpstr>
      <vt:lpstr>Mark Base Calc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2017-02-01T18:38:23Z</dcterms:created>
  <dcterms:modified xsi:type="dcterms:W3CDTF">2017-07-20T07:53:36Z</dcterms:modified>
</cp:coreProperties>
</file>